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395" yWindow="390" windowWidth="15195" windowHeight="7755" tabRatio="885" activeTab="2"/>
  </bookViews>
  <sheets>
    <sheet name="Лист1" sheetId="7" r:id="rId1"/>
    <sheet name="Паспорт" sheetId="2" r:id="rId2"/>
    <sheet name="ИП" sheetId="1" r:id="rId3"/>
    <sheet name="показатели надежности" sheetId="3" r:id="rId4"/>
    <sheet name="ФинПлан" sheetId="4" r:id="rId5"/>
    <sheet name="3 ип" sheetId="9" r:id="rId6"/>
    <sheet name="4.1" sheetId="18" r:id="rId7"/>
    <sheet name="4.2" sheetId="21" r:id="rId8"/>
    <sheet name="4.3" sheetId="22" r:id="rId9"/>
    <sheet name="4.4." sheetId="24" r:id="rId10"/>
    <sheet name="4.5." sheetId="23" r:id="rId11"/>
    <sheet name="отчетИП" sheetId="5" r:id="rId12"/>
    <sheet name="отчет о надежности" sheetId="6" r:id="rId13"/>
    <sheet name="ИП18" sheetId="28" r:id="rId14"/>
    <sheet name="Лист4" sheetId="27" r:id="rId15"/>
  </sheets>
  <externalReferences>
    <externalReference r:id="rId16"/>
    <externalReference r:id="rId17"/>
    <externalReference r:id="rId18"/>
  </externalReferences>
  <definedNames>
    <definedName name="_xlnm._FilterDatabase" localSheetId="2" hidden="1">ИП!$A$5:$S$57</definedName>
    <definedName name="_xlnm.Print_Titles" localSheetId="2">ИП!$5:$8</definedName>
    <definedName name="_xlnm.Print_Titles" localSheetId="3">'показатели надежности'!$6:$10</definedName>
    <definedName name="_xlnm.Print_Area" localSheetId="5">'3 ип'!$A$1:$I$24</definedName>
    <definedName name="_xlnm.Print_Area" localSheetId="6">'4.1'!$A$1:$S$39</definedName>
    <definedName name="_xlnm.Print_Area" localSheetId="7">'4.2'!$A$1:$S$40</definedName>
    <definedName name="_xlnm.Print_Area" localSheetId="8">'4.3'!$A$1:$S$37</definedName>
    <definedName name="_xlnm.Print_Area" localSheetId="9">'4.4.'!$A$1:$S$42</definedName>
    <definedName name="_xlnm.Print_Area" localSheetId="10">'4.5.'!$A$1:$S$38</definedName>
    <definedName name="_xlnm.Print_Area" localSheetId="2">ИП!$A$1:$R$59</definedName>
    <definedName name="_xlnm.Print_Area" localSheetId="4">ФинПлан!$A$1:$I$27</definedName>
  </definedNames>
  <calcPr calcId="144525"/>
</workbook>
</file>

<file path=xl/calcChain.xml><?xml version="1.0" encoding="utf-8"?>
<calcChain xmlns="http://schemas.openxmlformats.org/spreadsheetml/2006/main">
  <c r="H55" i="5" l="1"/>
  <c r="H45" i="5"/>
  <c r="B26" i="5" l="1"/>
  <c r="D11" i="6"/>
  <c r="C11" i="6"/>
  <c r="A11" i="6"/>
  <c r="A12" i="6" s="1"/>
  <c r="A13" i="6" s="1"/>
  <c r="A14" i="6" s="1"/>
  <c r="A15" i="6" s="1"/>
  <c r="H43" i="5" l="1"/>
  <c r="H44" i="5"/>
  <c r="H42" i="5"/>
  <c r="H41" i="5"/>
  <c r="H40" i="5"/>
  <c r="H39" i="5"/>
  <c r="G41" i="5"/>
  <c r="G42" i="5"/>
  <c r="G43" i="5"/>
  <c r="G44" i="5"/>
  <c r="G40" i="5"/>
  <c r="G39" i="5"/>
  <c r="G45" i="5" s="1"/>
  <c r="B41" i="5"/>
  <c r="B42" i="5"/>
  <c r="B43" i="5"/>
  <c r="B44" i="5"/>
  <c r="B40" i="5"/>
  <c r="B39" i="5"/>
  <c r="H28" i="5"/>
  <c r="H27" i="5"/>
  <c r="H26" i="5"/>
  <c r="G27" i="5"/>
  <c r="G26" i="5"/>
  <c r="B27" i="5"/>
  <c r="M63" i="28"/>
  <c r="R47" i="28"/>
  <c r="O47" i="28"/>
  <c r="N47" i="28"/>
  <c r="M47" i="28"/>
  <c r="M56" i="28" s="1"/>
  <c r="K47" i="28"/>
  <c r="K36" i="28"/>
  <c r="R26" i="28"/>
  <c r="O26" i="28"/>
  <c r="O56" i="28" s="1"/>
  <c r="N26" i="28"/>
  <c r="M26" i="28"/>
  <c r="K26" i="28"/>
  <c r="G55" i="5" l="1"/>
  <c r="K56" i="28"/>
  <c r="R56" i="28"/>
  <c r="G28" i="5"/>
  <c r="N56" i="28"/>
  <c r="M64" i="28"/>
  <c r="J12" i="21" l="1"/>
  <c r="J10" i="21" s="1"/>
  <c r="F28" i="21"/>
  <c r="F27" i="22"/>
  <c r="L28" i="22"/>
  <c r="J11" i="22"/>
  <c r="F13" i="4"/>
  <c r="H12" i="18"/>
  <c r="H11" i="18"/>
  <c r="J12" i="18"/>
  <c r="J11" i="18"/>
  <c r="K26" i="1"/>
  <c r="M17" i="9" l="1"/>
  <c r="N17" i="9"/>
  <c r="K42" i="1" l="1"/>
  <c r="K41" i="1"/>
  <c r="K40" i="1"/>
  <c r="K39" i="1"/>
  <c r="K38" i="1"/>
  <c r="T28" i="1" l="1"/>
  <c r="B10" i="3" l="1"/>
  <c r="C10" i="3" s="1"/>
  <c r="D10" i="3" s="1"/>
  <c r="E10" i="3" s="1"/>
  <c r="F10" i="3" s="1"/>
  <c r="G10" i="3" s="1"/>
  <c r="H10" i="3" s="1"/>
  <c r="I10" i="3" s="1"/>
  <c r="J10" i="3" s="1"/>
  <c r="K10" i="3" s="1"/>
  <c r="L10" i="3" s="1"/>
  <c r="M10" i="3" s="1"/>
  <c r="N10" i="3" s="1"/>
  <c r="O10" i="3" s="1"/>
  <c r="P10" i="3" s="1"/>
  <c r="Q10" i="3" s="1"/>
  <c r="R10" i="3" s="1"/>
  <c r="S10" i="3" s="1"/>
  <c r="T10" i="3" s="1"/>
  <c r="U10" i="3" s="1"/>
  <c r="V10" i="3" s="1"/>
  <c r="W10" i="3" s="1"/>
  <c r="X10" i="3" s="1"/>
  <c r="Y10" i="3" s="1"/>
  <c r="Z10" i="3" s="1"/>
  <c r="AA10" i="3" s="1"/>
  <c r="U14" i="3"/>
  <c r="H12" i="23"/>
  <c r="J12" i="23" s="1"/>
  <c r="H11" i="23"/>
  <c r="J11" i="23" s="1"/>
  <c r="K46" i="1"/>
  <c r="K43" i="1"/>
  <c r="K24" i="1"/>
  <c r="E27" i="23" l="1"/>
  <c r="E28" i="23"/>
  <c r="J9" i="23"/>
  <c r="H9" i="23"/>
  <c r="K48" i="1" l="1"/>
  <c r="B2" i="23"/>
  <c r="G27" i="22"/>
  <c r="N17" i="3" l="1"/>
  <c r="O17" i="3" s="1"/>
  <c r="P17" i="3" s="1"/>
  <c r="N16" i="3"/>
  <c r="O16" i="3" s="1"/>
  <c r="P16" i="3" s="1"/>
  <c r="Q16" i="3" s="1"/>
  <c r="B18" i="3" l="1"/>
  <c r="B17" i="3"/>
  <c r="B16" i="3"/>
  <c r="K56" i="1"/>
  <c r="L48" i="1"/>
  <c r="L57" i="1" s="1"/>
  <c r="M48" i="1"/>
  <c r="N48" i="1"/>
  <c r="O48" i="1"/>
  <c r="P48" i="1"/>
  <c r="G9" i="9"/>
  <c r="H9" i="9" s="1"/>
  <c r="I9" i="9" s="1"/>
  <c r="H5" i="21"/>
  <c r="I7" i="22"/>
  <c r="K32" i="24"/>
  <c r="K31" i="24"/>
  <c r="F14" i="24"/>
  <c r="F30" i="24" s="1"/>
  <c r="F13" i="24"/>
  <c r="F12" i="24"/>
  <c r="J12" i="24" s="1"/>
  <c r="E10" i="24"/>
  <c r="D10" i="24"/>
  <c r="F5" i="24"/>
  <c r="G5" i="24"/>
  <c r="H5" i="24"/>
  <c r="D9" i="24"/>
  <c r="I9" i="24" s="1"/>
  <c r="D8" i="24"/>
  <c r="F34" i="24" s="1"/>
  <c r="D7" i="24"/>
  <c r="I7" i="24" s="1"/>
  <c r="B2" i="24"/>
  <c r="B14" i="3" s="1"/>
  <c r="L37" i="24"/>
  <c r="K37" i="24"/>
  <c r="G37" i="24"/>
  <c r="O37" i="24" s="1"/>
  <c r="P37" i="24" s="1"/>
  <c r="L36" i="24"/>
  <c r="K36" i="24"/>
  <c r="G36" i="24"/>
  <c r="O36" i="24" s="1"/>
  <c r="P36" i="24" s="1"/>
  <c r="K34" i="24"/>
  <c r="K33" i="24"/>
  <c r="L29" i="24"/>
  <c r="L28" i="24"/>
  <c r="K28" i="24"/>
  <c r="G28" i="24"/>
  <c r="O28" i="24" s="1"/>
  <c r="P28" i="24" s="1"/>
  <c r="L27" i="24"/>
  <c r="K27" i="24"/>
  <c r="G27" i="24"/>
  <c r="O27" i="24" s="1"/>
  <c r="P27" i="24" s="1"/>
  <c r="L26" i="24"/>
  <c r="K26" i="24"/>
  <c r="G26" i="24"/>
  <c r="O26" i="24" s="1"/>
  <c r="P26" i="24" s="1"/>
  <c r="L25" i="24"/>
  <c r="K25" i="24"/>
  <c r="G25" i="24"/>
  <c r="O25" i="24" s="1"/>
  <c r="P25" i="24" s="1"/>
  <c r="L24" i="24"/>
  <c r="K24" i="24"/>
  <c r="G24" i="24"/>
  <c r="O24" i="24" s="1"/>
  <c r="P24" i="24" s="1"/>
  <c r="L23" i="24"/>
  <c r="K23" i="24"/>
  <c r="G23" i="24"/>
  <c r="O23" i="24" s="1"/>
  <c r="P23" i="24" s="1"/>
  <c r="L22" i="24"/>
  <c r="K22" i="24"/>
  <c r="G22" i="24"/>
  <c r="O22" i="24" s="1"/>
  <c r="P22" i="24" s="1"/>
  <c r="D22" i="24"/>
  <c r="C22" i="24"/>
  <c r="E7" i="24"/>
  <c r="K26" i="22"/>
  <c r="E7" i="22"/>
  <c r="F7" i="22" s="1"/>
  <c r="G7" i="22" s="1"/>
  <c r="D8" i="22"/>
  <c r="F26" i="22" s="1"/>
  <c r="L26" i="22" s="1"/>
  <c r="D7" i="23"/>
  <c r="E7" i="23" s="1"/>
  <c r="G9" i="23"/>
  <c r="F9" i="23"/>
  <c r="B15" i="3"/>
  <c r="L33" i="23"/>
  <c r="K33" i="23"/>
  <c r="G33" i="23"/>
  <c r="O33" i="23" s="1"/>
  <c r="P33" i="23" s="1"/>
  <c r="L32" i="23"/>
  <c r="K32" i="23"/>
  <c r="G32" i="23"/>
  <c r="O32" i="23" s="1"/>
  <c r="P32" i="23" s="1"/>
  <c r="L31" i="23"/>
  <c r="L30" i="23"/>
  <c r="K30" i="23"/>
  <c r="G30" i="23"/>
  <c r="O30" i="23" s="1"/>
  <c r="P30" i="23" s="1"/>
  <c r="K29" i="23"/>
  <c r="F29" i="23"/>
  <c r="L29" i="23" s="1"/>
  <c r="K28" i="23"/>
  <c r="F28" i="23"/>
  <c r="L28" i="23" s="1"/>
  <c r="L27" i="23"/>
  <c r="K27" i="23"/>
  <c r="G27" i="23"/>
  <c r="O27" i="23" s="1"/>
  <c r="P27" i="23" s="1"/>
  <c r="K26" i="23"/>
  <c r="L26" i="23"/>
  <c r="L25" i="23"/>
  <c r="K25" i="23"/>
  <c r="G25" i="23"/>
  <c r="O25" i="23" s="1"/>
  <c r="P25" i="23" s="1"/>
  <c r="L24" i="23"/>
  <c r="K24" i="23"/>
  <c r="G24" i="23"/>
  <c r="O24" i="23" s="1"/>
  <c r="P24" i="23" s="1"/>
  <c r="L23" i="23"/>
  <c r="K23" i="23"/>
  <c r="G23" i="23"/>
  <c r="O23" i="23" s="1"/>
  <c r="P23" i="23" s="1"/>
  <c r="L22" i="23"/>
  <c r="K22" i="23"/>
  <c r="G22" i="23"/>
  <c r="O22" i="23" s="1"/>
  <c r="P22" i="23" s="1"/>
  <c r="L21" i="23"/>
  <c r="K21" i="23"/>
  <c r="G21" i="23"/>
  <c r="O21" i="23" s="1"/>
  <c r="P21" i="23" s="1"/>
  <c r="L20" i="23"/>
  <c r="K20" i="23"/>
  <c r="G20" i="23"/>
  <c r="O20" i="23" s="1"/>
  <c r="P20" i="23" s="1"/>
  <c r="D20" i="23"/>
  <c r="C20" i="23"/>
  <c r="F25" i="22"/>
  <c r="G25" i="22" s="1"/>
  <c r="O25" i="22" s="1"/>
  <c r="M27" i="24" l="1"/>
  <c r="M37" i="24"/>
  <c r="M25" i="24"/>
  <c r="M23" i="24"/>
  <c r="D5" i="23"/>
  <c r="I8" i="22"/>
  <c r="G12" i="24"/>
  <c r="H12" i="24" s="1"/>
  <c r="J14" i="24"/>
  <c r="M33" i="23"/>
  <c r="D5" i="22"/>
  <c r="E8" i="24"/>
  <c r="F10" i="24"/>
  <c r="M21" i="23"/>
  <c r="M23" i="23"/>
  <c r="M25" i="23"/>
  <c r="M30" i="23"/>
  <c r="E31" i="23"/>
  <c r="M20" i="23"/>
  <c r="M22" i="23"/>
  <c r="M24" i="23"/>
  <c r="M27" i="23"/>
  <c r="M32" i="23"/>
  <c r="L34" i="24"/>
  <c r="G34" i="24"/>
  <c r="O34" i="24" s="1"/>
  <c r="P34" i="24" s="1"/>
  <c r="Q34" i="24" s="1"/>
  <c r="D5" i="24"/>
  <c r="E9" i="24"/>
  <c r="E5" i="24" s="1"/>
  <c r="G14" i="24"/>
  <c r="J13" i="24"/>
  <c r="J10" i="24" s="1"/>
  <c r="I8" i="24"/>
  <c r="I5" i="24" s="1"/>
  <c r="F33" i="24"/>
  <c r="L33" i="24" s="1"/>
  <c r="M33" i="24" s="1"/>
  <c r="F35" i="24"/>
  <c r="L35" i="24" s="1"/>
  <c r="F32" i="24"/>
  <c r="M22" i="24"/>
  <c r="M24" i="24"/>
  <c r="M26" i="24"/>
  <c r="M28" i="24"/>
  <c r="M36" i="24"/>
  <c r="G13" i="24"/>
  <c r="H13" i="24" s="1"/>
  <c r="F31" i="24"/>
  <c r="G5" i="21"/>
  <c r="E8" i="22"/>
  <c r="M34" i="24"/>
  <c r="Q22" i="24"/>
  <c r="Q24" i="24"/>
  <c r="Q26" i="24"/>
  <c r="R26" i="24" s="1"/>
  <c r="Q28" i="24"/>
  <c r="R28" i="24" s="1"/>
  <c r="S28" i="24" s="1"/>
  <c r="Q36" i="24"/>
  <c r="Q23" i="24"/>
  <c r="R23" i="24" s="1"/>
  <c r="Q25" i="24"/>
  <c r="Q27" i="24"/>
  <c r="R27" i="24" s="1"/>
  <c r="Q37" i="24"/>
  <c r="K35" i="24"/>
  <c r="M35" i="24" s="1"/>
  <c r="G35" i="24"/>
  <c r="O35" i="24" s="1"/>
  <c r="P35" i="24" s="1"/>
  <c r="K29" i="24"/>
  <c r="M29" i="24" s="1"/>
  <c r="G29" i="24"/>
  <c r="O29" i="24" s="1"/>
  <c r="P29" i="24" s="1"/>
  <c r="Q29" i="24" s="1"/>
  <c r="G30" i="24"/>
  <c r="O30" i="24" s="1"/>
  <c r="P30" i="24" s="1"/>
  <c r="K30" i="24"/>
  <c r="M26" i="22"/>
  <c r="G26" i="22"/>
  <c r="O26" i="22" s="1"/>
  <c r="P26" i="22" s="1"/>
  <c r="F7" i="23"/>
  <c r="E5" i="23"/>
  <c r="I7" i="23"/>
  <c r="I5" i="23" s="1"/>
  <c r="G26" i="23"/>
  <c r="O26" i="23" s="1"/>
  <c r="P26" i="23" s="1"/>
  <c r="Q21" i="23"/>
  <c r="Q23" i="23"/>
  <c r="Q25" i="23"/>
  <c r="R25" i="23" s="1"/>
  <c r="Q30" i="23"/>
  <c r="R30" i="23" s="1"/>
  <c r="Q32" i="23"/>
  <c r="Q20" i="23"/>
  <c r="Q22" i="23"/>
  <c r="R22" i="23" s="1"/>
  <c r="Q24" i="23"/>
  <c r="R24" i="23" s="1"/>
  <c r="Q27" i="23"/>
  <c r="Q33" i="23"/>
  <c r="R33" i="23" s="1"/>
  <c r="M26" i="23"/>
  <c r="Q26" i="23"/>
  <c r="M28" i="23"/>
  <c r="M29" i="23"/>
  <c r="G28" i="23"/>
  <c r="O28" i="23" s="1"/>
  <c r="P28" i="23" s="1"/>
  <c r="G29" i="23"/>
  <c r="O29" i="23" s="1"/>
  <c r="P29" i="23" s="1"/>
  <c r="Q29" i="23" s="1"/>
  <c r="R23" i="23" l="1"/>
  <c r="R37" i="24"/>
  <c r="R36" i="24"/>
  <c r="R22" i="24"/>
  <c r="R20" i="23"/>
  <c r="R25" i="24"/>
  <c r="E5" i="22"/>
  <c r="F8" i="22"/>
  <c r="R27" i="23"/>
  <c r="S27" i="23" s="1"/>
  <c r="R21" i="23"/>
  <c r="R34" i="24"/>
  <c r="R24" i="24"/>
  <c r="G33" i="24"/>
  <c r="O33" i="24" s="1"/>
  <c r="P33" i="24" s="1"/>
  <c r="Q33" i="24" s="1"/>
  <c r="R33" i="24" s="1"/>
  <c r="R32" i="23"/>
  <c r="K31" i="23"/>
  <c r="M31" i="23" s="1"/>
  <c r="G31" i="23"/>
  <c r="O31" i="23" s="1"/>
  <c r="P31" i="23" s="1"/>
  <c r="L32" i="24"/>
  <c r="M32" i="24" s="1"/>
  <c r="G32" i="24"/>
  <c r="O32" i="24" s="1"/>
  <c r="P32" i="24" s="1"/>
  <c r="Q32" i="24" s="1"/>
  <c r="G10" i="24"/>
  <c r="L31" i="24"/>
  <c r="M31" i="24" s="1"/>
  <c r="G31" i="24"/>
  <c r="O31" i="24" s="1"/>
  <c r="P31" i="24" s="1"/>
  <c r="Q31" i="24" s="1"/>
  <c r="L30" i="24"/>
  <c r="M30" i="24" s="1"/>
  <c r="H14" i="24"/>
  <c r="H10" i="24" s="1"/>
  <c r="Q30" i="24"/>
  <c r="R29" i="24"/>
  <c r="S29" i="24" s="1"/>
  <c r="Q35" i="24"/>
  <c r="R35" i="24" s="1"/>
  <c r="F5" i="23"/>
  <c r="G7" i="23"/>
  <c r="R26" i="23"/>
  <c r="S26" i="23" s="1"/>
  <c r="Q28" i="23"/>
  <c r="R28" i="23" s="1"/>
  <c r="R29" i="23"/>
  <c r="G8" i="22" l="1"/>
  <c r="F5" i="22"/>
  <c r="R30" i="24"/>
  <c r="M5" i="24"/>
  <c r="W14" i="3" s="1"/>
  <c r="X14" i="3" s="1"/>
  <c r="S33" i="24"/>
  <c r="K5" i="24" s="1"/>
  <c r="R14" i="3" s="1"/>
  <c r="T14" i="3" s="1"/>
  <c r="S14" i="3" s="1"/>
  <c r="M5" i="23"/>
  <c r="W15" i="3" s="1"/>
  <c r="Q31" i="23"/>
  <c r="R31" i="23" s="1"/>
  <c r="S31" i="23" s="1"/>
  <c r="K5" i="23" s="1"/>
  <c r="R15" i="3" s="1"/>
  <c r="S15" i="3" s="1"/>
  <c r="T15" i="3" s="1"/>
  <c r="U15" i="3" s="1"/>
  <c r="V15" i="3" s="1"/>
  <c r="S28" i="23"/>
  <c r="R31" i="24"/>
  <c r="M10" i="24"/>
  <c r="Z14" i="3" s="1"/>
  <c r="AA14" i="3" s="1"/>
  <c r="R32" i="24"/>
  <c r="G5" i="23"/>
  <c r="H7" i="23"/>
  <c r="H5" i="23" s="1"/>
  <c r="X15" i="3" l="1"/>
  <c r="Y15" i="3" s="1"/>
  <c r="Z15" i="3" s="1"/>
  <c r="AA15" i="3"/>
  <c r="S30" i="24"/>
  <c r="K10" i="24" s="1"/>
  <c r="Y14" i="3"/>
  <c r="J9" i="22"/>
  <c r="I5" i="22"/>
  <c r="B2" i="22"/>
  <c r="B13" i="3" s="1"/>
  <c r="L32" i="22"/>
  <c r="K32" i="22"/>
  <c r="G32" i="22"/>
  <c r="O32" i="22" s="1"/>
  <c r="P32" i="22" s="1"/>
  <c r="L31" i="22"/>
  <c r="K31" i="22"/>
  <c r="G31" i="22"/>
  <c r="O31" i="22" s="1"/>
  <c r="P31" i="22" s="1"/>
  <c r="L30" i="22"/>
  <c r="K30" i="22"/>
  <c r="G30" i="22"/>
  <c r="O30" i="22" s="1"/>
  <c r="P30" i="22" s="1"/>
  <c r="L29" i="22"/>
  <c r="K29" i="22"/>
  <c r="G29" i="22"/>
  <c r="O29" i="22" s="1"/>
  <c r="P29" i="22" s="1"/>
  <c r="K28" i="22"/>
  <c r="M28" i="22" s="1"/>
  <c r="K27" i="22"/>
  <c r="P25" i="22"/>
  <c r="L25" i="22"/>
  <c r="K25" i="22"/>
  <c r="L24" i="22"/>
  <c r="K24" i="22"/>
  <c r="G24" i="22"/>
  <c r="O24" i="22" s="1"/>
  <c r="P24" i="22" s="1"/>
  <c r="L23" i="22"/>
  <c r="K23" i="22"/>
  <c r="G23" i="22"/>
  <c r="O23" i="22" s="1"/>
  <c r="P23" i="22" s="1"/>
  <c r="L22" i="22"/>
  <c r="K22" i="22"/>
  <c r="G22" i="22"/>
  <c r="O22" i="22" s="1"/>
  <c r="P22" i="22" s="1"/>
  <c r="L21" i="22"/>
  <c r="K21" i="22"/>
  <c r="G21" i="22"/>
  <c r="O21" i="22" s="1"/>
  <c r="P21" i="22" s="1"/>
  <c r="L20" i="22"/>
  <c r="K20" i="22"/>
  <c r="G20" i="22"/>
  <c r="O20" i="22" s="1"/>
  <c r="P20" i="22" s="1"/>
  <c r="L19" i="22"/>
  <c r="K19" i="22"/>
  <c r="G19" i="22"/>
  <c r="O19" i="22" s="1"/>
  <c r="P19" i="22" s="1"/>
  <c r="D19" i="22"/>
  <c r="C19" i="22"/>
  <c r="F9" i="22"/>
  <c r="M28" i="1"/>
  <c r="U28" i="1" s="1"/>
  <c r="F10" i="21"/>
  <c r="G10" i="21"/>
  <c r="D8" i="21"/>
  <c r="I8" i="21" s="1"/>
  <c r="E8" i="21"/>
  <c r="E7" i="21"/>
  <c r="D7" i="21"/>
  <c r="I7" i="21" s="1"/>
  <c r="I5" i="21" s="1"/>
  <c r="B2" i="21"/>
  <c r="B12" i="3" s="1"/>
  <c r="L35" i="21"/>
  <c r="K35" i="21"/>
  <c r="M35" i="21" s="1"/>
  <c r="G35" i="21"/>
  <c r="O35" i="21" s="1"/>
  <c r="P35" i="21" s="1"/>
  <c r="L34" i="21"/>
  <c r="K34" i="21"/>
  <c r="G34" i="21"/>
  <c r="O34" i="21" s="1"/>
  <c r="P34" i="21" s="1"/>
  <c r="L33" i="21"/>
  <c r="K33" i="21"/>
  <c r="M33" i="21" s="1"/>
  <c r="G33" i="21"/>
  <c r="O33" i="21" s="1"/>
  <c r="P33" i="21" s="1"/>
  <c r="L32" i="21"/>
  <c r="K32" i="21"/>
  <c r="G32" i="21"/>
  <c r="O32" i="21" s="1"/>
  <c r="P32" i="21" s="1"/>
  <c r="K31" i="21"/>
  <c r="K30" i="21"/>
  <c r="K29" i="21"/>
  <c r="L29" i="21"/>
  <c r="K28" i="21"/>
  <c r="K27" i="21"/>
  <c r="L26" i="21"/>
  <c r="K26" i="21"/>
  <c r="M26" i="21" s="1"/>
  <c r="G26" i="21"/>
  <c r="O26" i="21" s="1"/>
  <c r="P26" i="21" s="1"/>
  <c r="L25" i="21"/>
  <c r="K25" i="21"/>
  <c r="G25" i="21"/>
  <c r="O25" i="21" s="1"/>
  <c r="P25" i="21" s="1"/>
  <c r="L24" i="21"/>
  <c r="K24" i="21"/>
  <c r="M24" i="21" s="1"/>
  <c r="G24" i="21"/>
  <c r="O24" i="21" s="1"/>
  <c r="P24" i="21" s="1"/>
  <c r="L23" i="21"/>
  <c r="K23" i="21"/>
  <c r="G23" i="21"/>
  <c r="O23" i="21" s="1"/>
  <c r="P23" i="21" s="1"/>
  <c r="L22" i="21"/>
  <c r="K22" i="21"/>
  <c r="M22" i="21" s="1"/>
  <c r="G22" i="21"/>
  <c r="O22" i="21" s="1"/>
  <c r="P22" i="21" s="1"/>
  <c r="L21" i="21"/>
  <c r="K21" i="21"/>
  <c r="G21" i="21"/>
  <c r="O21" i="21" s="1"/>
  <c r="P21" i="21" s="1"/>
  <c r="L20" i="21"/>
  <c r="K20" i="21"/>
  <c r="M20" i="21" s="1"/>
  <c r="G20" i="21"/>
  <c r="O20" i="21" s="1"/>
  <c r="P20" i="21" s="1"/>
  <c r="D20" i="21"/>
  <c r="C20" i="21"/>
  <c r="N28" i="1"/>
  <c r="V28" i="1" s="1"/>
  <c r="O28" i="1"/>
  <c r="W28" i="1" s="1"/>
  <c r="P28" i="1"/>
  <c r="P57" i="1" s="1"/>
  <c r="I13" i="4" s="1"/>
  <c r="I15" i="4" s="1"/>
  <c r="M56" i="1"/>
  <c r="Q48" i="1"/>
  <c r="R48" i="1"/>
  <c r="M5" i="22" l="1"/>
  <c r="W13" i="3" s="1"/>
  <c r="X13" i="3" s="1"/>
  <c r="Y13" i="3" s="1"/>
  <c r="Z13" i="3" s="1"/>
  <c r="AA13" i="3" s="1"/>
  <c r="E5" i="21"/>
  <c r="F7" i="21"/>
  <c r="F5" i="21" s="1"/>
  <c r="F31" i="21"/>
  <c r="F8" i="21"/>
  <c r="P61" i="1"/>
  <c r="O57" i="1"/>
  <c r="N57" i="1"/>
  <c r="G13" i="4" s="1"/>
  <c r="G15" i="4" s="1"/>
  <c r="M57" i="1"/>
  <c r="M30" i="22"/>
  <c r="M32" i="22"/>
  <c r="D5" i="21"/>
  <c r="Q26" i="22"/>
  <c r="R26" i="22" s="1"/>
  <c r="M25" i="22"/>
  <c r="M19" i="22"/>
  <c r="M21" i="22"/>
  <c r="M23" i="22"/>
  <c r="Q20" i="22"/>
  <c r="Q22" i="22"/>
  <c r="Q24" i="22"/>
  <c r="Q25" i="22"/>
  <c r="Q29" i="22"/>
  <c r="Q31" i="22"/>
  <c r="Q19" i="22"/>
  <c r="M20" i="22"/>
  <c r="Q21" i="22"/>
  <c r="R21" i="22" s="1"/>
  <c r="M22" i="22"/>
  <c r="R22" i="22" s="1"/>
  <c r="Q23" i="22"/>
  <c r="M24" i="22"/>
  <c r="M29" i="22"/>
  <c r="R29" i="22" s="1"/>
  <c r="Q30" i="22"/>
  <c r="R30" i="22" s="1"/>
  <c r="S30" i="22" s="1"/>
  <c r="M31" i="22"/>
  <c r="Q32" i="22"/>
  <c r="L27" i="22"/>
  <c r="M27" i="22" s="1"/>
  <c r="O27" i="22"/>
  <c r="P27" i="22" s="1"/>
  <c r="M9" i="22" s="1"/>
  <c r="G28" i="22"/>
  <c r="O28" i="22" s="1"/>
  <c r="P28" i="22" s="1"/>
  <c r="Q28" i="22" s="1"/>
  <c r="R28" i="22" s="1"/>
  <c r="H9" i="22"/>
  <c r="G9" i="22"/>
  <c r="L31" i="21"/>
  <c r="M31" i="21" s="1"/>
  <c r="G31" i="21"/>
  <c r="O31" i="21" s="1"/>
  <c r="P31" i="21" s="1"/>
  <c r="Q31" i="21" s="1"/>
  <c r="F30" i="21"/>
  <c r="G30" i="21" s="1"/>
  <c r="O30" i="21" s="1"/>
  <c r="P30" i="21" s="1"/>
  <c r="K28" i="1"/>
  <c r="H10" i="21"/>
  <c r="M21" i="21"/>
  <c r="M23" i="21"/>
  <c r="M25" i="21"/>
  <c r="M29" i="21"/>
  <c r="M32" i="21"/>
  <c r="M34" i="21"/>
  <c r="Q21" i="21"/>
  <c r="R21" i="21" s="1"/>
  <c r="Q23" i="21"/>
  <c r="Q25" i="21"/>
  <c r="Q32" i="21"/>
  <c r="Q34" i="21"/>
  <c r="Q20" i="21"/>
  <c r="R20" i="21" s="1"/>
  <c r="Q22" i="21"/>
  <c r="R22" i="21" s="1"/>
  <c r="Q24" i="21"/>
  <c r="R24" i="21" s="1"/>
  <c r="Q26" i="21"/>
  <c r="R26" i="21" s="1"/>
  <c r="Q33" i="21"/>
  <c r="R33" i="21" s="1"/>
  <c r="S33" i="21" s="1"/>
  <c r="Q35" i="21"/>
  <c r="R35" i="21" s="1"/>
  <c r="L27" i="21"/>
  <c r="M27" i="21" s="1"/>
  <c r="O27" i="21"/>
  <c r="P27" i="21" s="1"/>
  <c r="L28" i="21"/>
  <c r="M28" i="21" s="1"/>
  <c r="G28" i="21"/>
  <c r="O28" i="21" s="1"/>
  <c r="L30" i="21"/>
  <c r="M30" i="21" s="1"/>
  <c r="O29" i="21"/>
  <c r="P29" i="21" s="1"/>
  <c r="Q29" i="21" s="1"/>
  <c r="R32" i="22" l="1"/>
  <c r="R23" i="21"/>
  <c r="T1" i="1"/>
  <c r="M61" i="1"/>
  <c r="H13" i="4"/>
  <c r="H15" i="4" s="1"/>
  <c r="O61" i="1"/>
  <c r="N61" i="1"/>
  <c r="R29" i="21"/>
  <c r="R31" i="22"/>
  <c r="K57" i="1"/>
  <c r="R25" i="21"/>
  <c r="R24" i="22"/>
  <c r="R20" i="22"/>
  <c r="M5" i="21"/>
  <c r="W12" i="3" s="1"/>
  <c r="X12" i="3" s="1"/>
  <c r="R31" i="21"/>
  <c r="R32" i="21"/>
  <c r="R25" i="22"/>
  <c r="S25" i="22" s="1"/>
  <c r="K5" i="22" s="1"/>
  <c r="R13" i="3" s="1"/>
  <c r="S13" i="3" s="1"/>
  <c r="T13" i="3" s="1"/>
  <c r="U13" i="3" s="1"/>
  <c r="R19" i="22"/>
  <c r="R23" i="22"/>
  <c r="Q27" i="22"/>
  <c r="R27" i="22" s="1"/>
  <c r="S27" i="22" s="1"/>
  <c r="K11" i="22" s="1"/>
  <c r="P28" i="21"/>
  <c r="M10" i="21" s="1"/>
  <c r="Z12" i="3" s="1"/>
  <c r="AA12" i="3" s="1"/>
  <c r="R34" i="21"/>
  <c r="Q30" i="21"/>
  <c r="R30" i="21" s="1"/>
  <c r="S30" i="21" s="1"/>
  <c r="K5" i="21" s="1"/>
  <c r="Q27" i="21"/>
  <c r="R27" i="21" s="1"/>
  <c r="Y12" i="3" l="1"/>
  <c r="J25" i="4"/>
  <c r="J26" i="4" s="1"/>
  <c r="K9" i="22"/>
  <c r="V13" i="3" s="1"/>
  <c r="Q28" i="21"/>
  <c r="R28" i="21" s="1"/>
  <c r="S28" i="21" s="1"/>
  <c r="K10" i="21" s="1"/>
  <c r="R12" i="3"/>
  <c r="S12" i="3" s="1"/>
  <c r="V12" i="3" l="1"/>
  <c r="U12" i="3" s="1"/>
  <c r="T12" i="3" s="1"/>
  <c r="F24" i="4" l="1"/>
  <c r="D9" i="18" l="1"/>
  <c r="K29" i="18"/>
  <c r="K28" i="18"/>
  <c r="D8" i="18"/>
  <c r="D7" i="18"/>
  <c r="F28" i="18" s="1"/>
  <c r="L28" i="18" s="1"/>
  <c r="J9" i="18"/>
  <c r="B2" i="18"/>
  <c r="B11" i="3" s="1"/>
  <c r="L34" i="18"/>
  <c r="K34" i="18"/>
  <c r="G34" i="18"/>
  <c r="O34" i="18" s="1"/>
  <c r="P34" i="18" s="1"/>
  <c r="L33" i="18"/>
  <c r="K33" i="18"/>
  <c r="G33" i="18"/>
  <c r="O33" i="18" s="1"/>
  <c r="P33" i="18" s="1"/>
  <c r="L32" i="18"/>
  <c r="K32" i="18"/>
  <c r="L31" i="18"/>
  <c r="K31" i="18"/>
  <c r="G31" i="18"/>
  <c r="O31" i="18" s="1"/>
  <c r="P31" i="18" s="1"/>
  <c r="L30" i="18"/>
  <c r="K30" i="18"/>
  <c r="K27" i="18"/>
  <c r="K26" i="18"/>
  <c r="L25" i="18"/>
  <c r="K25" i="18"/>
  <c r="G25" i="18"/>
  <c r="O25" i="18" s="1"/>
  <c r="P25" i="18" s="1"/>
  <c r="L24" i="18"/>
  <c r="K24" i="18"/>
  <c r="G24" i="18"/>
  <c r="O24" i="18" s="1"/>
  <c r="P24" i="18" s="1"/>
  <c r="L23" i="18"/>
  <c r="K23" i="18"/>
  <c r="G23" i="18"/>
  <c r="O23" i="18" s="1"/>
  <c r="P23" i="18" s="1"/>
  <c r="L22" i="18"/>
  <c r="K22" i="18"/>
  <c r="G22" i="18"/>
  <c r="O22" i="18" s="1"/>
  <c r="P22" i="18" s="1"/>
  <c r="L21" i="18"/>
  <c r="K21" i="18"/>
  <c r="G21" i="18"/>
  <c r="O21" i="18" s="1"/>
  <c r="P21" i="18" s="1"/>
  <c r="L20" i="18"/>
  <c r="K20" i="18"/>
  <c r="G20" i="18"/>
  <c r="O20" i="18" s="1"/>
  <c r="P20" i="18" s="1"/>
  <c r="D20" i="18"/>
  <c r="C20" i="18"/>
  <c r="I8" i="18" l="1"/>
  <c r="F29" i="18"/>
  <c r="M33" i="18"/>
  <c r="G28" i="18"/>
  <c r="O28" i="18" s="1"/>
  <c r="P28" i="18" s="1"/>
  <c r="F26" i="18"/>
  <c r="I7" i="18"/>
  <c r="I5" i="18" s="1"/>
  <c r="F27" i="18"/>
  <c r="D5" i="18"/>
  <c r="F9" i="18"/>
  <c r="H9" i="18"/>
  <c r="E9" i="18"/>
  <c r="G9" i="18"/>
  <c r="M30" i="18"/>
  <c r="M20" i="18"/>
  <c r="M22" i="18"/>
  <c r="M24" i="18"/>
  <c r="M21" i="18"/>
  <c r="M23" i="18"/>
  <c r="M25" i="18"/>
  <c r="M31" i="18"/>
  <c r="M32" i="18"/>
  <c r="M34" i="18"/>
  <c r="M28" i="18"/>
  <c r="Q28" i="18"/>
  <c r="Q21" i="18"/>
  <c r="Q23" i="18"/>
  <c r="Q25" i="18"/>
  <c r="Q31" i="18"/>
  <c r="Q34" i="18"/>
  <c r="Q20" i="18"/>
  <c r="R20" i="18" s="1"/>
  <c r="Q22" i="18"/>
  <c r="Q24" i="18"/>
  <c r="R24" i="18" s="1"/>
  <c r="Q33" i="18"/>
  <c r="R33" i="18" s="1"/>
  <c r="G30" i="18"/>
  <c r="O30" i="18" s="1"/>
  <c r="P30" i="18" s="1"/>
  <c r="G32" i="18"/>
  <c r="O32" i="18" s="1"/>
  <c r="P32" i="18" s="1"/>
  <c r="R22" i="18" l="1"/>
  <c r="R25" i="18"/>
  <c r="R31" i="18"/>
  <c r="R21" i="18"/>
  <c r="R23" i="18"/>
  <c r="L27" i="18"/>
  <c r="M27" i="18" s="1"/>
  <c r="G27" i="18"/>
  <c r="O27" i="18" s="1"/>
  <c r="P27" i="18" s="1"/>
  <c r="Q27" i="18" s="1"/>
  <c r="R27" i="18" s="1"/>
  <c r="L26" i="18"/>
  <c r="M26" i="18" s="1"/>
  <c r="G26" i="18"/>
  <c r="O26" i="18" s="1"/>
  <c r="P26" i="18" s="1"/>
  <c r="L29" i="18"/>
  <c r="M29" i="18" s="1"/>
  <c r="G29" i="18"/>
  <c r="O29" i="18" s="1"/>
  <c r="P29" i="18" s="1"/>
  <c r="I24" i="4"/>
  <c r="R34" i="18"/>
  <c r="R28" i="18"/>
  <c r="Q32" i="18"/>
  <c r="R32" i="18" s="1"/>
  <c r="S32" i="18" s="1"/>
  <c r="Q30" i="18"/>
  <c r="R30" i="18" s="1"/>
  <c r="S30" i="18" s="1"/>
  <c r="M5" i="18" l="1"/>
  <c r="W11" i="3" s="1"/>
  <c r="Q29" i="18"/>
  <c r="R29" i="18" s="1"/>
  <c r="S28" i="18" s="1"/>
  <c r="K5" i="18" s="1"/>
  <c r="R11" i="3" s="1"/>
  <c r="S11" i="3" s="1"/>
  <c r="T11" i="3" s="1"/>
  <c r="U11" i="3" s="1"/>
  <c r="M9" i="18"/>
  <c r="Q26" i="18"/>
  <c r="R26" i="18" s="1"/>
  <c r="S26" i="18" s="1"/>
  <c r="K9" i="18" s="1"/>
  <c r="V11" i="3" l="1"/>
  <c r="AA11" i="3"/>
  <c r="X11" i="3"/>
  <c r="Y11" i="3" s="1"/>
  <c r="Z11" i="3" s="1"/>
  <c r="E14" i="4"/>
  <c r="F18" i="9" l="1"/>
  <c r="G18" i="9" s="1"/>
  <c r="H18" i="9" s="1"/>
  <c r="K19" i="9" l="1"/>
  <c r="I18" i="9"/>
  <c r="G24" i="4"/>
  <c r="E17" i="9"/>
  <c r="F16" i="9"/>
  <c r="F17" i="9" s="1"/>
  <c r="L17" i="9" s="1"/>
  <c r="D17" i="9"/>
  <c r="F12" i="9"/>
  <c r="H12" i="9" s="1"/>
  <c r="C14" i="4" l="1"/>
  <c r="E15" i="4" l="1"/>
  <c r="C15" i="4" s="1"/>
  <c r="H24" i="4"/>
  <c r="E13" i="4"/>
  <c r="C13" i="4" l="1"/>
  <c r="E24" i="4"/>
  <c r="C24" i="4" l="1"/>
  <c r="J24" i="4" s="1"/>
  <c r="U2" i="1" l="1"/>
  <c r="U1" i="1" l="1"/>
</calcChain>
</file>

<file path=xl/comments1.xml><?xml version="1.0" encoding="utf-8"?>
<comments xmlns="http://schemas.openxmlformats.org/spreadsheetml/2006/main">
  <authors>
    <author>Автор</author>
  </authors>
  <commentLis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C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3.xml><?xml version="1.0" encoding="utf-8"?>
<comments xmlns="http://schemas.openxmlformats.org/spreadsheetml/2006/main">
  <authors>
    <author>*</author>
    <author>Автор</author>
  </authors>
  <commentList>
    <comment ref="C8" authorId="0">
      <text>
        <r>
          <rPr>
            <b/>
            <sz val="8"/>
            <color indexed="81"/>
            <rFont val="Tahoma"/>
            <family val="2"/>
            <charset val="204"/>
          </rPr>
          <t>*:</t>
        </r>
        <r>
          <rPr>
            <sz val="8"/>
            <color indexed="81"/>
            <rFont val="Tahoma"/>
            <family val="2"/>
            <charset val="204"/>
          </rPr>
          <t xml:space="preserve">
от старой котельной использоваться не будет
</t>
        </r>
      </text>
    </comment>
    <comment ref="C1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5.xml><?xml version="1.0" encoding="utf-8"?>
<comments xmlns="http://schemas.openxmlformats.org/spreadsheetml/2006/main">
  <authors>
    <author>*</author>
    <author>Автор</author>
  </authors>
  <commentList>
    <comment ref="D7" authorId="0">
      <text>
        <r>
          <rPr>
            <b/>
            <sz val="8"/>
            <color indexed="81"/>
            <rFont val="Tahoma"/>
            <family val="2"/>
            <charset val="204"/>
          </rPr>
          <t>*:</t>
        </r>
        <r>
          <rPr>
            <sz val="8"/>
            <color indexed="81"/>
            <rFont val="Tahoma"/>
            <family val="2"/>
            <charset val="204"/>
          </rPr>
          <t xml:space="preserve">
с учетом компенсаторов
</t>
        </r>
      </text>
    </comment>
    <comment ref="C20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<sst xmlns="http://schemas.openxmlformats.org/spreadsheetml/2006/main" count="911" uniqueCount="370">
  <si>
    <t>N п/п</t>
  </si>
  <si>
    <t>Наименование мероприятий</t>
  </si>
  <si>
    <t>Обоснование необходимости (цель реализации)</t>
  </si>
  <si>
    <t>Описание и место расположения объекта</t>
  </si>
  <si>
    <t>Основные технические характеристики</t>
  </si>
  <si>
    <t>Год начала реализации мероприятия</t>
  </si>
  <si>
    <t>Год окончания реализации мероприятия</t>
  </si>
  <si>
    <t>Наименование показателя (мощность, протяженность, диаметр и т.п.)</t>
  </si>
  <si>
    <t>Ед. изм.</t>
  </si>
  <si>
    <t>Значение показателя</t>
  </si>
  <si>
    <t>Всего</t>
  </si>
  <si>
    <t>в т.ч. по годам</t>
  </si>
  <si>
    <t>Остаток финансирования</t>
  </si>
  <si>
    <t>в т.ч. за счет платы за подключение</t>
  </si>
  <si>
    <t>до реализации мероприятия</t>
  </si>
  <si>
    <t>после реализации мероприятия</t>
  </si>
  <si>
    <t>Группа 1. Строительство, реконструкция или модернизация объектов в целях подключения потребителей:</t>
  </si>
  <si>
    <t>1.1. Строительство новых тепловых сетей в целях подключения потребителей</t>
  </si>
  <si>
    <t>1.2. Строительство иных объектов системы централизованного теплоснабжения, за исключением тепловых сетей, в целях подключения потребителей</t>
  </si>
  <si>
    <t>1.3. Увеличение пропускной способности существующих тепловых сетей в целях подключения потребителей</t>
  </si>
  <si>
    <t>1.4. Увеличение мощности и производительности существующих объектов централизованного теплоснабжения, за исключением тепловых сетей, в целях подключения потребителей</t>
  </si>
  <si>
    <t>Всего по группе 1</t>
  </si>
  <si>
    <t>Группа 2. Строительство новых объектов системы централизованного теплоснабжения, не связанных с подключением новых потребителей, в том числе строительство новых тепловых сетей</t>
  </si>
  <si>
    <t>Всего по группе 2</t>
  </si>
  <si>
    <t>Группа 3. Реконструкция или модернизация существующих объектов в целях снижения уровня износа существующих объектов и (или) поставки энергии от разных источников</t>
  </si>
  <si>
    <t>3.1. Реконструкция или модернизация существующих тепловых сетей</t>
  </si>
  <si>
    <t>3.2. Реконструкция или модернизация существующих объектов системы централизованного теплоснабжения, за исключением тепловых сетей</t>
  </si>
  <si>
    <t>Всего по группе 3</t>
  </si>
  <si>
    <t>Группа 4. Мероприятия, направленные на снижение негативного воздействия на окружающую среду, достижение плановых значений показателей надежности и энергетической эффективности объектов теплоснабжения, повышение эффективности работы систем централизованного теплоснабжения</t>
  </si>
  <si>
    <t>Всего по группе 4</t>
  </si>
  <si>
    <t>Группа 5. Вывод из эксплуатации, консервация и демонтаж объектов системы централизованного теплоснабжения</t>
  </si>
  <si>
    <t>5.1. Вывод из эксплуатации, консервация и демонтаж тепловых сетей</t>
  </si>
  <si>
    <t>5.2. Вывод из эксплуатации, консервация и демонтаж иных объектов системы централизованного теплоснабжения, за исключением тепловых сетей</t>
  </si>
  <si>
    <t>Всего по группе 5</t>
  </si>
  <si>
    <t>ИТОГО по программе</t>
  </si>
  <si>
    <t>Инвестиционная программа</t>
  </si>
  <si>
    <t>1.1.1.</t>
  </si>
  <si>
    <t>1.1.2.</t>
  </si>
  <si>
    <t>1.2.1.</t>
  </si>
  <si>
    <t>1.2.2.</t>
  </si>
  <si>
    <t>1.3.1.</t>
  </si>
  <si>
    <t>1.3.2.</t>
  </si>
  <si>
    <t>1.4.1.</t>
  </si>
  <si>
    <t>1.4.2.</t>
  </si>
  <si>
    <t>2.1.1.</t>
  </si>
  <si>
    <t>3.1.1.</t>
  </si>
  <si>
    <t>3.2.2.</t>
  </si>
  <si>
    <t>3.2.1.</t>
  </si>
  <si>
    <t>4.1.1.</t>
  </si>
  <si>
    <t>5.1.1.</t>
  </si>
  <si>
    <t>5.2.2.</t>
  </si>
  <si>
    <t>5.2.1.</t>
  </si>
  <si>
    <t>Паспорт инвестиционной программы в сфере теплоснабжения</t>
  </si>
  <si>
    <t>Наименование организации, в отношении которой разрабатывается инвестиционная программа в сфере теплоснабжения</t>
  </si>
  <si>
    <t>___________________________________________</t>
  </si>
  <si>
    <t>Местонахождение регулируемой организации</t>
  </si>
  <si>
    <t>Сроки реализации инвестиционной программы</t>
  </si>
  <si>
    <t>Лицо, ответственное за разработку инвестиционной программы</t>
  </si>
  <si>
    <t>Контактная информация лица, ответственного за разработку инвестиционной программы</t>
  </si>
  <si>
    <t>Наименование органа исполнительной власти субъекта РФ или органа местного самоуправления, утвердившего инвестиционную программу</t>
  </si>
  <si>
    <t>Местонахождение органа, утвердившего инвестиционную программу</t>
  </si>
  <si>
    <t>Должностное лицо, утвердившее инвестиционную программу</t>
  </si>
  <si>
    <t>Дата утверждения инвестиционной программы</t>
  </si>
  <si>
    <t>Контактная информация лица, ответственного за утверждение инвестиционной программы</t>
  </si>
  <si>
    <t>Наименование органа местного самоуправления, согласовавшего инвестиционную программу</t>
  </si>
  <si>
    <t>Местонахождение органа, согласовавшего инвестиционную программу</t>
  </si>
  <si>
    <t>Должностное лицо, согласовавшее инвестиционную программу</t>
  </si>
  <si>
    <t>Дата согласования инвестиционной программы</t>
  </si>
  <si>
    <t>Контактная информация лица, ответственного за согласование инвестиционной программы</t>
  </si>
  <si>
    <t>Показатели надежности</t>
  </si>
  <si>
    <t>Наименование объекта</t>
  </si>
  <si>
    <t>Показатели энергетической эффективности</t>
  </si>
  <si>
    <t>Количество прекращений подачи тепловой энергии, теплоносителя в результате технологических нарушений на тепловых сетях на 1 км тепловых сетей</t>
  </si>
  <si>
    <t>Количество прекращений подачи тепловой энергии, теплоносителя в результате технологических нарушений на источниках тепловой энергии на 1 Гкал/час установленной мощности</t>
  </si>
  <si>
    <t>Удельный расход топлива на производство единицы тепловой энергии, отпускаемой с коллекторов источников тепловой энергии</t>
  </si>
  <si>
    <t>Отношение величины технологических потерь тепловой энергии, теплоносителя к материальной характеристике тепловой сети</t>
  </si>
  <si>
    <t>Величина технологических потерь при передаче тепловой энергии, теплоносителя по тепловым сетям</t>
  </si>
  <si>
    <t>Плановое значение</t>
  </si>
  <si>
    <t>Финансовый план</t>
  </si>
  <si>
    <t xml:space="preserve">           _____________________________________________________</t>
  </si>
  <si>
    <t>Источники финансирования</t>
  </si>
  <si>
    <t>по видам деятельности</t>
  </si>
  <si>
    <t>по годам реализации инвестпрограммы</t>
  </si>
  <si>
    <t>1.</t>
  </si>
  <si>
    <t>Собственные средства</t>
  </si>
  <si>
    <t>1.1.</t>
  </si>
  <si>
    <t>амортизационные отчисления</t>
  </si>
  <si>
    <t>1.2.</t>
  </si>
  <si>
    <t>прибыль, направленная на инвестиции</t>
  </si>
  <si>
    <t>1.3.</t>
  </si>
  <si>
    <t>средства, полученные за счет платы за подключение</t>
  </si>
  <si>
    <t>1.4.</t>
  </si>
  <si>
    <t>прочие собственные средства, в т.ч. средства от эмиссии ценных бумаг</t>
  </si>
  <si>
    <t>2.</t>
  </si>
  <si>
    <t>Привлеченные средства</t>
  </si>
  <si>
    <t>2.1.</t>
  </si>
  <si>
    <t>кредиты</t>
  </si>
  <si>
    <t>2.2.</t>
  </si>
  <si>
    <t>займы организаций</t>
  </si>
  <si>
    <t>2.3.</t>
  </si>
  <si>
    <t>прочие привлеченные средства</t>
  </si>
  <si>
    <t>3.</t>
  </si>
  <si>
    <t>Бюджетное финансирование</t>
  </si>
  <si>
    <t>4.</t>
  </si>
  <si>
    <t>Прочие источники финансирования, в т.ч. лизинг</t>
  </si>
  <si>
    <t>Стоимость мероприятий, тыс. руб. (с НДС)</t>
  </si>
  <si>
    <t>Примечание</t>
  </si>
  <si>
    <t>план</t>
  </si>
  <si>
    <t>факт</t>
  </si>
  <si>
    <t>Группа 2. Строительство новых объектов системы централизованного теплоснабжения, не связанных с подключением новых потребителей, в том числе строительство новых</t>
  </si>
  <si>
    <t>2.1.2.</t>
  </si>
  <si>
    <t>3.1.2.</t>
  </si>
  <si>
    <t>4.1.2.</t>
  </si>
  <si>
    <t>5.1.2.</t>
  </si>
  <si>
    <t>Руководитель ресурсоснабжающей организации</t>
  </si>
  <si>
    <t>Отчет об исполнении инвестиционной программы</t>
  </si>
  <si>
    <t>Форма N 6.2-ИП ТС</t>
  </si>
  <si>
    <t xml:space="preserve">Утверждена распоряжением </t>
  </si>
  <si>
    <t>Согласована Администрацией муницпального образования городской округ г. Скопин Рязанской области.</t>
  </si>
  <si>
    <t xml:space="preserve">ИНВЕСТИЦИОННАЯ ПРОГРАММА </t>
  </si>
  <si>
    <t>"СКОПИНСКИЕ ТЕПЛОВЫ СЕТИ" (МКП "СТС")</t>
  </si>
  <si>
    <t xml:space="preserve">"МОДЕРНИЗАЦИЯ И РАЗВИТИЕ СИСТЕМЫ ТЕПЛОСНАБЖЕНИЯ </t>
  </si>
  <si>
    <t>Цели программы</t>
  </si>
  <si>
    <t>1.Повышение надежности, качества и эффективности предоставления коммунальных услуг.</t>
  </si>
  <si>
    <t>2. Обеспечение ресурсной эффективности, устойчивости и безопасности функцонирования систем теплоснабженияи городского округа г. Скопин</t>
  </si>
  <si>
    <t>производство и передача тепловой энергии</t>
  </si>
  <si>
    <t>Директор МКП "Скопинские тепловые сети"</t>
  </si>
  <si>
    <t xml:space="preserve">    М.П.                                                            </t>
  </si>
  <si>
    <t>Анашкин С.А.</t>
  </si>
  <si>
    <t xml:space="preserve">прочие виды деятельности </t>
  </si>
  <si>
    <t>Муниципальное казенное предприятие "Скопинские тепловые сети"</t>
  </si>
  <si>
    <t>Г. Скопин Рязанской области АЗМР 7б</t>
  </si>
  <si>
    <t>тел: 49156-5-10-13 email: S_Lobur@mail.ru</t>
  </si>
  <si>
    <t>Директор МКП "Скопинские тепловые сети" _______________ Анашкин С.А.</t>
  </si>
  <si>
    <t>и энергетической эффективности объектов централизованного</t>
  </si>
  <si>
    <t>теплоснабжения МКП "Скопинские тепловые сети"</t>
  </si>
  <si>
    <t>Директор МКП "Скопинские тепловые сети" ___________________ Анашкин С.А.</t>
  </si>
  <si>
    <t>Директор МКП "Скопинские тепловые сети" _________________________ Анашкин С.А.</t>
  </si>
  <si>
    <t>Муниципальное казенное предприятие "Скопинские  тепловые сети"</t>
  </si>
  <si>
    <t>снижение тепловых потерь, повышение безопасности эксплуатации</t>
  </si>
  <si>
    <t>диаметр</t>
  </si>
  <si>
    <t>мм</t>
  </si>
  <si>
    <t>обеспечение бесперебойности теплоснабжения и безопасности эксплуатации.</t>
  </si>
  <si>
    <t>Величина технологических потерь при передаче тепловой энергии, теплоносителя по тепловым сетям (тонн)</t>
  </si>
  <si>
    <t>Главное управление Региональная энергетическая комиссия Рязанской области</t>
  </si>
  <si>
    <t>3910013, Рязань ул. МОГЭС д.12</t>
  </si>
  <si>
    <t>тел: 4912-28-99-58</t>
  </si>
  <si>
    <t>Администрация Муципального образования городской округ г. Скопин Рязанской области</t>
  </si>
  <si>
    <t>391800 г. Скопин Рязанской области ул. Ленина д.9</t>
  </si>
  <si>
    <t>тел: 49156-2-6-57, факс  49156-2-00-57</t>
  </si>
  <si>
    <t>Удельный расход топлива на производство единицы тепловой энергии, отпускаемой с коллекторов источников тепловой энергии (кг у.т./Гкал)</t>
  </si>
  <si>
    <t>3. Улучшение экологической ситуации в городском округе г. Скопин</t>
  </si>
  <si>
    <t>начальник ГУ РЭК Рязанской области                     Голыхов О.Н.</t>
  </si>
  <si>
    <t>Глава муниципального образования городской окргу г. Скопин Рязанской области   Асеев О.А.</t>
  </si>
  <si>
    <t>4.1.</t>
  </si>
  <si>
    <t>4.2.</t>
  </si>
  <si>
    <t>4.3.</t>
  </si>
  <si>
    <t>"Согласовано"</t>
  </si>
  <si>
    <t xml:space="preserve">глава администрации </t>
  </si>
  <si>
    <t xml:space="preserve">муниципального образования </t>
  </si>
  <si>
    <t>городской округ г. Скопин</t>
  </si>
  <si>
    <t>____________Асеев О.А.</t>
  </si>
  <si>
    <t>Плановые значения показателей, достижение которых предусмотрено в результате реализации мероприятий инвестиционной программы</t>
  </si>
  <si>
    <t>№  п/п</t>
  </si>
  <si>
    <t>Наименование показателя</t>
  </si>
  <si>
    <t>фактические значения</t>
  </si>
  <si>
    <t>Плановые значения</t>
  </si>
  <si>
    <t>в т.ч. по годам реализации</t>
  </si>
  <si>
    <t>Удельный расход электрической энергии на транспортировку теплоносителя</t>
  </si>
  <si>
    <t>кВт ч/м3</t>
  </si>
  <si>
    <t>   </t>
  </si>
  <si>
    <t>Удельный расход условного топлива на выработку единицы тепловой энергии и (или) теплоносителя</t>
  </si>
  <si>
    <t>тут /Гкал</t>
  </si>
  <si>
    <t>ту т/м3*</t>
  </si>
  <si>
    <t>Объем присоединяемой тепловой нагрузки новых потребителей</t>
  </si>
  <si>
    <t>Гкал/ч</t>
  </si>
  <si>
    <t>Износ объектов системы теплоснабжения с выделением процента износа объектов, существующих на начало реализации Инвестиционной программы</t>
  </si>
  <si>
    <t>%</t>
  </si>
  <si>
    <t>Потери тепловой энергии при передаче тепловой энергии по тепловым сетям</t>
  </si>
  <si>
    <t>% от полезного отпуска тепловой энергии</t>
  </si>
  <si>
    <t>Потери теплоносителя при передаче тепловой энергии по тепловым сетям</t>
  </si>
  <si>
    <t>тонн в год для воды**</t>
  </si>
  <si>
    <t>кум м для пара***</t>
  </si>
  <si>
    <t>Показатели, характеризующие снижение негативного воздействия на окружающую среду, определяемые в соответствии с законодательством РФ об охране окружающей среды</t>
  </si>
  <si>
    <t>в соответствии с законодательством РФ об охране окружающей среды</t>
  </si>
  <si>
    <t>7.1.</t>
  </si>
  <si>
    <t>7.2.</t>
  </si>
  <si>
    <t>МуниципаЛьное казенное предприятие "Скопинские тепловые сети"</t>
  </si>
  <si>
    <t>Директор МКП Скопинские тепловые сети ________________ С.А. Анашкин</t>
  </si>
  <si>
    <t>тыс. Гкал в год</t>
  </si>
  <si>
    <t xml:space="preserve">МУНИЦИПАЛЬНОГО КАЗЕННОГО ПРЕДПРИЯТИЯ </t>
  </si>
  <si>
    <t xml:space="preserve">Тип прокладки /условный диаметр </t>
  </si>
  <si>
    <t>Наружный диаметр (мм)</t>
  </si>
  <si>
    <t>Отношение величины технологических потерь тепловой энергии, теплоносителя к материальной характеристике тепловой сети (Гкал/м2)</t>
  </si>
  <si>
    <t>Подземная прокладка</t>
  </si>
  <si>
    <r>
      <t xml:space="preserve">Нормы тепловых потерь через изоляцию трубопроводов </t>
    </r>
    <r>
      <rPr>
        <b/>
        <i/>
        <u/>
        <sz val="14"/>
        <rFont val="Arial"/>
        <family val="2"/>
        <charset val="204"/>
      </rPr>
      <t>отопления</t>
    </r>
    <r>
      <rPr>
        <b/>
        <sz val="14"/>
        <rFont val="Arial"/>
        <family val="2"/>
        <charset val="204"/>
      </rPr>
      <t xml:space="preserve"> рассчитанных по методике 325</t>
    </r>
  </si>
  <si>
    <t>условный диамтр Dу мм</t>
  </si>
  <si>
    <t>наружный диаметр ,Dн мм</t>
  </si>
  <si>
    <t>температура подающего трубопровода t C</t>
  </si>
  <si>
    <t>температура обратного трубопровода t C</t>
  </si>
  <si>
    <t>длина  в однотрубном исчислении, м</t>
  </si>
  <si>
    <t>нормы тепловых потерь, ккал/м/час</t>
  </si>
  <si>
    <t>Бета - коеффициент местных тепловых потерь (п 11.3.3)</t>
  </si>
  <si>
    <t>часовые средние потери для надземной прокладки: Ккал/ч</t>
  </si>
  <si>
    <t xml:space="preserve"> часовые средние потери для подземной прокладки Q из., ккал/ч</t>
  </si>
  <si>
    <t>потери т/с через изоляцию Гкал</t>
  </si>
  <si>
    <t>удельный объем сетей, м3/м</t>
  </si>
  <si>
    <t>объем V т/сети м3</t>
  </si>
  <si>
    <t>объем V норм утечки т/сети м3/ч</t>
  </si>
  <si>
    <t>колво тепла потерянных с утечкой, Гкал</t>
  </si>
  <si>
    <t>потери Гкал.</t>
  </si>
  <si>
    <t>всего</t>
  </si>
  <si>
    <t>надземная прокладка</t>
  </si>
  <si>
    <t>подземная прокладка</t>
  </si>
  <si>
    <t>для надземной прокладки:</t>
  </si>
  <si>
    <t>для опдземной прокладке q из.н</t>
  </si>
  <si>
    <t>время работы т/с час</t>
  </si>
  <si>
    <t>новый трубопровод</t>
  </si>
  <si>
    <t>старый трубопровод</t>
  </si>
  <si>
    <t>сумма</t>
  </si>
  <si>
    <t>средняя температура грунта</t>
  </si>
  <si>
    <t>средняя температура воздуха</t>
  </si>
  <si>
    <t>период расчета часов</t>
  </si>
  <si>
    <t>Расчет показателей надежности по пункту</t>
  </si>
  <si>
    <t>Надземная прокладка</t>
  </si>
  <si>
    <t>Материальная характеристика (м*м) в 2018году</t>
  </si>
  <si>
    <t>Длина участка в 2-х трубном исчислении в 2018 году (км)</t>
  </si>
  <si>
    <t>Длина участка в 2-х трубном исчислении в 2019 году (км) ПЛАН</t>
  </si>
  <si>
    <t>Длина участка в 2-х трубном исчислении в 2020году (км) ПЛАН</t>
  </si>
  <si>
    <t>-</t>
  </si>
  <si>
    <t>г. Скопин мкр. АЗМР</t>
  </si>
  <si>
    <t>Длина участка в 2-х трубном исчислении в 2021 году (км) ПЛАН</t>
  </si>
  <si>
    <t>Длина участка в 2-х трубном исчислении в 2022 году (км) ПЛАН</t>
  </si>
  <si>
    <t>159, 108</t>
  </si>
  <si>
    <t>4.4.</t>
  </si>
  <si>
    <t>г. Скопин Автозаводской микрорайон</t>
  </si>
  <si>
    <t>Профинансировано к 2019</t>
  </si>
  <si>
    <t>г. Скопин мкр. Октябрьский</t>
  </si>
  <si>
    <t>зксплуатация дымовой трубы без образования конденсата в целах избежания ее разрушения. Повышение безопасности эксплуатации, снижение расхода газа.</t>
  </si>
  <si>
    <t>дымовая труба</t>
  </si>
  <si>
    <t>шт</t>
  </si>
  <si>
    <t>дымовая  труба кирпичная 1 шт., высота трубы 28,4 м, диаметр переменный</t>
  </si>
  <si>
    <t xml:space="preserve">Независимые дымоходы для каждого котла из ФуранФлекса диаметром Д 800 м каждый. </t>
  </si>
  <si>
    <t>г. Скопин мкр. Октябрьский ул. Советская 7б</t>
  </si>
  <si>
    <t>мощность</t>
  </si>
  <si>
    <t>котел</t>
  </si>
  <si>
    <t>обеспечение бесперебойности теплоснабжения и безопасности эксплуатации, снижение тепловых потерь.</t>
  </si>
  <si>
    <t>г. Скопин Пролетарская д. 6</t>
  </si>
  <si>
    <t>г. Скопин ул. Ленина 102</t>
  </si>
  <si>
    <t>Заключение экспертизы ПромБезопасности. Безопасность эксплуатации ОПО. Снижение расхода ТЭРов</t>
  </si>
  <si>
    <t>котел, Мощность Гкал/час</t>
  </si>
  <si>
    <t>4.5.</t>
  </si>
  <si>
    <t>4.6.</t>
  </si>
  <si>
    <t>г. Скопин мкр. Металлург, ул. Мира</t>
  </si>
  <si>
    <t>4.7.</t>
  </si>
  <si>
    <t>г. Скопин, мкр. Октябрьский, ул. Советская, д. 7б</t>
  </si>
  <si>
    <t>снижение тепловых потерь, повышение безопасности эксплуатации, подключение новой БМК  к существующим потребителям.</t>
  </si>
  <si>
    <t>Техническое перевооружение кирпичной дымовой трубы по  адресу: Рязанская область г. Скопин мкр. Автозаводской д. 4"</t>
  </si>
  <si>
    <t>4.8.</t>
  </si>
  <si>
    <t xml:space="preserve">г. Скопин мкр. Заречный </t>
  </si>
  <si>
    <t>Реконструкция подземного участка теплотрассы  по ул. Мира от СОШ №3 до ТК 37 протяженностью 468 м.п. в двухтрубном исполнении диаметром Д 159 мм. Сталь в ППУ изоляции</t>
  </si>
  <si>
    <t xml:space="preserve">Реконструкция подземного  участка  теплотрассы в мкр.АЗМР протяженностью 156 м.п. от  ТК-23; 24;25;26; до ТК-37А  в четырехтрубном исполнении.  Труба  стальная Д159 мм и Д108 мм  в  ППУ изоляции </t>
  </si>
  <si>
    <t>Техническое перевооружение котельной по ул. Пролетарская д. 6а</t>
  </si>
  <si>
    <t>Реконструкция  участка подземной  теплотрассы в мкр. АЗМР от ж/дома № 35 до ТК-46 протяженностью 119 м.п. в 4-х трубном исполнении, трубы  сталные  в ППУ изоляции Д=273 мм; Д=219 мм; Д=159 мм  в г. Скопине  Рязанской  области.</t>
  </si>
  <si>
    <t>273,219,159</t>
  </si>
  <si>
    <t>325,238,      219</t>
  </si>
  <si>
    <t>Текущее значение 2018</t>
  </si>
  <si>
    <t>Реконструкция подземного участка теплотрассы от котельной по адресу ул. Советская д. 7б (мкр. Октябрьский). БМК-ТК8-ТК9-ТК10-ТК11 протяженностью 283 м.п. в двухтрубном исполнении диаметром Д 159 мм в Ппу изоляции со строительством тепловой камеры</t>
  </si>
  <si>
    <t>Мвт/час</t>
  </si>
  <si>
    <t>АВ-10 3 шт; по 0,7 Мвт/час</t>
  </si>
  <si>
    <t>ТITAN Prom мощностью 1 Мвт/час  (или аналогичный) ;  2 шт</t>
  </si>
  <si>
    <t>Реконструкция участка наружной теплотрассы протяженностью 236 м.п. в 2-х трубном исполнении с 2-мя компенсаторами из стальных труб диаметром д 159 мм, Д 108 мм в ППУ изоляции.</t>
  </si>
  <si>
    <t>Утвержденный период 2018</t>
  </si>
  <si>
    <r>
      <t>Отношение величины технологических потерь тепловой энергии, теплоносителя к материальной характеристике тепловой сети (Г</t>
    </r>
    <r>
      <rPr>
        <u/>
        <sz val="10"/>
        <rFont val="Arial"/>
        <family val="2"/>
        <charset val="204"/>
      </rPr>
      <t>кал/м2)</t>
    </r>
  </si>
  <si>
    <t xml:space="preserve">                              </t>
  </si>
  <si>
    <t>АВ-10 2 шт</t>
  </si>
  <si>
    <t>ТITAN Prom мощностью 0,6 Мвт (или аналогичный)/час;  2 шт</t>
  </si>
  <si>
    <t>Строительство  котельной мощностью 2МВт в непосредственной близости к потребителям тепла  (ликвидация имеющейся котельной)</t>
  </si>
  <si>
    <t>Разработка проекта строительства  котельной в мкр Октябрьский</t>
  </si>
  <si>
    <t xml:space="preserve">                в сфере теплоснабжения на  2019-2022 г.г.</t>
  </si>
  <si>
    <t>2019-2022 гг.</t>
  </si>
  <si>
    <t xml:space="preserve"> НА 2019-2022 ГОДЫ"</t>
  </si>
  <si>
    <t>Разработка проекта технического перевооружения котельной по ул. Орджоникидзе д. 137-б</t>
  </si>
  <si>
    <t xml:space="preserve">                    в сфере теплоснабжения на 2019-2022  годы.</t>
  </si>
  <si>
    <t>Материальная характеристика (м*м) в 2022 году</t>
  </si>
  <si>
    <t>Материальная характеристика (м*м) в 2022году</t>
  </si>
  <si>
    <t xml:space="preserve">Пронумеровано </t>
  </si>
  <si>
    <t>и прошнуровано</t>
  </si>
  <si>
    <t>____________ листов</t>
  </si>
  <si>
    <t>в сфере теплоснабжения на 2019-2022 годы</t>
  </si>
  <si>
    <t>Срок реализации программы: 2019-2022 гг.</t>
  </si>
  <si>
    <r>
      <t xml:space="preserve">Расходы на реализацию мероприятий в прогнозных ценах, тыс. руб. </t>
    </r>
    <r>
      <rPr>
        <sz val="10"/>
        <color rgb="FFFF0000"/>
        <rFont val="Arial"/>
        <family val="2"/>
        <charset val="204"/>
      </rPr>
      <t>(с НДС)</t>
    </r>
  </si>
  <si>
    <r>
      <t xml:space="preserve">Расходы на реализацию инвестиционной программы (тыс. руб. </t>
    </r>
    <r>
      <rPr>
        <sz val="10"/>
        <color rgb="FFFF0000"/>
        <rFont val="Arial"/>
        <family val="2"/>
        <charset val="204"/>
      </rPr>
      <t>без НДС</t>
    </r>
    <r>
      <rPr>
        <sz val="10"/>
        <color theme="1"/>
        <rFont val="Arial"/>
        <family val="2"/>
        <charset val="204"/>
      </rPr>
      <t>)</t>
    </r>
  </si>
  <si>
    <t xml:space="preserve">____________________ </t>
  </si>
  <si>
    <t>Материальная характеристика (м*м) в 2021 году</t>
  </si>
  <si>
    <t>"__________"_________________ 2019 г.</t>
  </si>
  <si>
    <t>Гкал/час</t>
  </si>
  <si>
    <t>Е -1/9  мощностью 0,6 Гкал/час; 4 шт.</t>
  </si>
  <si>
    <t xml:space="preserve">ТITAN Prom  мощностью 0,6 МВт/час (или аналогичный);  3 шт </t>
  </si>
  <si>
    <t xml:space="preserve">ТITAN Prom  мощностью 0,6 МВт/час (или аналогичный) ;  3 шт </t>
  </si>
  <si>
    <t xml:space="preserve">                в сфере теплоснабжения на  2018 год</t>
  </si>
  <si>
    <t>Расходы на реализацию мероприятий в прогнозных ценах, тыс. руб. (с НДС)</t>
  </si>
  <si>
    <t>Профинансировано в 2017 г.</t>
  </si>
  <si>
    <t>2018 год</t>
  </si>
  <si>
    <t>N + 2</t>
  </si>
  <si>
    <r>
      <t xml:space="preserve">Строительство  надземной  теплотрассы от </t>
    </r>
    <r>
      <rPr>
        <b/>
        <sz val="10"/>
        <rFont val="Arial"/>
        <family val="2"/>
        <charset val="204"/>
      </rPr>
      <t>ЦТП-2</t>
    </r>
    <r>
      <rPr>
        <sz val="10"/>
        <rFont val="Arial"/>
        <family val="2"/>
        <charset val="204"/>
      </rPr>
      <t xml:space="preserve"> в сторону школы №4 в мкр. АЗМР протяженностью 53,56 м.п. в четырехтрубном исполнении из стальных  труб в ППУ изоляции   Д-219 мм и Д-159 мм , взамен существующей подземной  теплотрассы от ЦТП-2  до жилого дома №3.</t>
    </r>
  </si>
  <si>
    <t>замена ветхой трубы, снижение тепловых потерь, повышение безопасности эксплуатации, обеспечение потребителей качественным ресурсом.</t>
  </si>
  <si>
    <t>АЗМР</t>
  </si>
  <si>
    <t>159; 114</t>
  </si>
  <si>
    <t>219; 159</t>
  </si>
  <si>
    <r>
      <t xml:space="preserve">Строительство надземной теплотрассы от ж/д №7 по </t>
    </r>
    <r>
      <rPr>
        <b/>
        <sz val="10"/>
        <rFont val="Arial"/>
        <family val="2"/>
        <charset val="204"/>
      </rPr>
      <t>ул. Высоковольтной</t>
    </r>
    <r>
      <rPr>
        <sz val="10"/>
        <rFont val="Arial"/>
        <family val="2"/>
        <charset val="204"/>
      </rPr>
      <t xml:space="preserve"> до ж/д №14 по ул. Боклевского в четырехтрубном исполнении протяженностью 125 м.п.(труба стальная в ППУ скорлупах, в оцинковнном кожухе, d 159,d 76, d 57)   (Спорткомплекс)</t>
    </r>
  </si>
  <si>
    <t>замена ветхой трубы, снижение тепловых потерь, повышение безопасности эксплуатации</t>
  </si>
  <si>
    <t>г. Скопин ул. Высоковольтная-Боклевского</t>
  </si>
  <si>
    <t>159;  76;  57</t>
  </si>
  <si>
    <t>Техническое перевооружение оборудованияч котельной в мкр. Заречный</t>
  </si>
  <si>
    <t>г. Скопин мкр. Заречный</t>
  </si>
  <si>
    <t>автоматика безопасности</t>
  </si>
  <si>
    <t>2 шт</t>
  </si>
  <si>
    <t>Контур-ЩК2</t>
  </si>
  <si>
    <t>на базе контроллера управления котловыми системами "Агава 6432.20 ПМ"</t>
  </si>
  <si>
    <t>сетевые насосы</t>
  </si>
  <si>
    <t>ЦН 400/105</t>
  </si>
  <si>
    <t>Grundfos NB 100-250/247, устройство плавного пуска, щит управления</t>
  </si>
  <si>
    <t>подпиточные насосы</t>
  </si>
  <si>
    <t>нет</t>
  </si>
  <si>
    <t>Grundfos СМ-А 5-6, щит управления</t>
  </si>
  <si>
    <t>пожарная сигнализация</t>
  </si>
  <si>
    <t>1 шт</t>
  </si>
  <si>
    <t>Автоматическая система пожарно-охранной сигнализации. Прибор ППКОП</t>
  </si>
  <si>
    <t>Газовые опуски к котлам</t>
  </si>
  <si>
    <t>ПЗК, задвижки с ручным приводом</t>
  </si>
  <si>
    <t>блок электромагнитных клапанов С6Н-5-66-КПД2-У3.1 1бар ("Термобрест" РБ)</t>
  </si>
  <si>
    <t>Газовый ввод в котельную</t>
  </si>
  <si>
    <t>термозапорный и электромагнитный клапаны Ду150</t>
  </si>
  <si>
    <r>
      <t xml:space="preserve">Реконструкция  участка  наружной теплотрассы протяженностью 235 м.п. в 2-х трубном исполнении в г. Скопине, мкр. </t>
    </r>
    <r>
      <rPr>
        <b/>
        <sz val="10"/>
        <rFont val="Arial"/>
        <family val="2"/>
        <charset val="204"/>
      </rPr>
      <t>Заречный.</t>
    </r>
    <r>
      <rPr>
        <sz val="10"/>
        <rFont val="Arial"/>
        <family val="2"/>
        <charset val="204"/>
      </rPr>
      <t xml:space="preserve">
С заменой трубы Д-325 мм на Д-219 мм  в ППУ изоляции.
</t>
    </r>
  </si>
  <si>
    <r>
      <t xml:space="preserve">Реконструкция  участка  теплотрассы в 2-х трубном исполнении, в ППУ изоляции протяженностью 139  м.п (. в том  числе:    50,5 м.п. подземная  трасса; наружная  теплотрасса-88,5 м.п.) Д159 от ЦТП №4 до жилого дома </t>
    </r>
    <r>
      <rPr>
        <b/>
        <sz val="10"/>
        <rFont val="Arial"/>
        <family val="2"/>
        <charset val="204"/>
      </rPr>
      <t>№271</t>
    </r>
    <r>
      <rPr>
        <sz val="10"/>
        <rFont val="Arial"/>
        <family val="2"/>
        <charset val="204"/>
      </rPr>
      <t xml:space="preserve"> по ул. К. Маркса в г. Скопине      Рязанской  области.</t>
    </r>
  </si>
  <si>
    <t>г. Скопин ул. К. Маркса</t>
  </si>
  <si>
    <t>Реконструкция  участка  теплотрассы в 2-х трубном исполнении, в ППУ изоляции протяженностью 80  м.п Д273 мм от ТК 40 до ТК 41 в мкр. АЗМР г. Скопине      Рязанской  области.</t>
  </si>
  <si>
    <t xml:space="preserve">Котельная в Автозаводском микрорайоне. Разработка и экспертиза проектной документации на техническое перевооружение кирпичной дымовой трубы </t>
  </si>
  <si>
    <t>снижение расхода топлива после проведения работ по техническому перевооружению</t>
  </si>
  <si>
    <t>Техническое перевооружение системы дымоудаления котельной по адресу г. Скопин мкр. Октябрьский ул. Заводская д. 2а</t>
  </si>
  <si>
    <t xml:space="preserve">повышение безопасности эксплуатации </t>
  </si>
  <si>
    <t>высота</t>
  </si>
  <si>
    <t>м</t>
  </si>
  <si>
    <t>было</t>
  </si>
  <si>
    <t xml:space="preserve">было при регулировании </t>
  </si>
  <si>
    <t>разница</t>
  </si>
  <si>
    <t>4.1.3.</t>
  </si>
  <si>
    <t>4.1.4.</t>
  </si>
  <si>
    <t>4.1.5.</t>
  </si>
  <si>
    <t>4.1.6.</t>
  </si>
  <si>
    <t>ИТОГО по прогремме</t>
  </si>
  <si>
    <t xml:space="preserve">Муниципального казенного предприятия "Скопинские тепловые сети" </t>
  </si>
  <si>
    <t>Муниципального образования городской округ г. Скопин Рязанской области</t>
  </si>
  <si>
    <t xml:space="preserve">                    в сфере теплоснабжения за 2018  год</t>
  </si>
  <si>
    <t>С.А. Анашкин</t>
  </si>
  <si>
    <t xml:space="preserve">М.П. </t>
  </si>
  <si>
    <t>Отчет о достижении плановых показателей надежности и энергетической эффективности объектов системы централизованного теплоснабжения</t>
  </si>
  <si>
    <t xml:space="preserve">        </t>
  </si>
  <si>
    <t>Муниципальное казенное предприятие "Скопинские тепловые сети Мунципального образования городской округ г. Скопин Рязанской области</t>
  </si>
  <si>
    <t xml:space="preserve">                    в сфере теплоснабжения за  2018 год</t>
  </si>
  <si>
    <t xml:space="preserve">Директор МКП "СТС" </t>
  </si>
  <si>
    <t>______________________________ С.А. Анашкин</t>
  </si>
  <si>
    <t>гл. экономист МКП "СТС" ________________________ С.В. Лобур</t>
  </si>
  <si>
    <t>49156-5-10-13</t>
  </si>
  <si>
    <t>S_Lobur@mail.ru</t>
  </si>
  <si>
    <t>Строительство  надземной  теплотрассы от ЦТП-2 в сторону школы №4 в мкр. АЗМР протяженностью 53,56 м.п. в четырехтрубном исполнении из стальных  труб в ППУ изоляции   Д-219 мм и Д-159 мм , взамен существующей подземной  теплотрассы от ЦТП-2  до жилого дома №3.</t>
  </si>
  <si>
    <t>Строительство надземной теплотрассы от ж/д №7 по ул. Высоковольтной до ж/д №14 по ул. Боклевского в четырехтрубном исполнении протяженностью 125 м.п.(труба стальная в ППУ скорлупах, в оцинковнном кожухе, d 159,d 76, d 57)   (Спорткомплекс)</t>
  </si>
  <si>
    <t xml:space="preserve">Реконструкция  участка  наружной теплотрассы протяженностью 235 м.п. в 2-х трубном исполнении в г. Скопине, мкр. Заречный.
С заменой трубы Д-325 мм на Д-219 мм  в ППУ изоляции.
</t>
  </si>
  <si>
    <t>Реконструкция  участка  теплотрассы в 2-х трубном исполнении, в ППУ изоляции протяженностью 139  м.п (. в том  числе:    50,5 м.п. подземная  трасса; наружная  теплотрасса-88,5 м.п.) Д159 от ЦТП №4 до жилого дома №271 по ул. К. Маркса в г. Скопине      Рязанской  области.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</si>
</sst>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"/>
    <numFmt numFmtId="167" formatCode="0.00000"/>
  </numFmts>
  <fonts count="44" x14ac:knownFonts="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"/>
      <color theme="1"/>
      <name val="Courier New"/>
      <family val="3"/>
      <charset val="204"/>
    </font>
    <font>
      <b/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Arial"/>
      <family val="2"/>
      <charset val="204"/>
    </font>
    <font>
      <b/>
      <i/>
      <u/>
      <sz val="14"/>
      <name val="Arial"/>
      <family val="2"/>
      <charset val="204"/>
    </font>
    <font>
      <sz val="14"/>
      <name val="Arial"/>
      <family val="2"/>
      <charset val="204"/>
    </font>
    <font>
      <b/>
      <sz val="12"/>
      <color indexed="48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B050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u/>
      <sz val="10"/>
      <name val="Arial"/>
      <family val="2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448">
    <xf numFmtId="0" fontId="0" fillId="0" borderId="0" xfId="0"/>
    <xf numFmtId="0" fontId="2" fillId="0" borderId="0" xfId="0" applyFont="1" applyAlignment="1">
      <alignment horizontal="justify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top" wrapText="1"/>
    </xf>
    <xf numFmtId="0" fontId="1" fillId="0" borderId="0" xfId="0" applyFont="1" applyAlignment="1">
      <alignment horizontal="justify" wrapText="1"/>
    </xf>
    <xf numFmtId="0" fontId="0" fillId="0" borderId="0" xfId="0" applyAlignment="1">
      <alignment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5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right"/>
    </xf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vertical="top" wrapText="1"/>
    </xf>
    <xf numFmtId="0" fontId="0" fillId="0" borderId="0" xfId="0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 wrapText="1"/>
    </xf>
    <xf numFmtId="0" fontId="10" fillId="0" borderId="9" xfId="0" applyFont="1" applyFill="1" applyBorder="1" applyAlignment="1">
      <alignment horizontal="left" vertical="top" wrapText="1"/>
    </xf>
    <xf numFmtId="164" fontId="10" fillId="0" borderId="9" xfId="0" applyNumberFormat="1" applyFont="1" applyFill="1" applyBorder="1" applyAlignment="1">
      <alignment horizontal="left" vertical="top" wrapText="1"/>
    </xf>
    <xf numFmtId="10" fontId="10" fillId="0" borderId="9" xfId="2" applyNumberFormat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/>
    <xf numFmtId="0" fontId="3" fillId="0" borderId="0" xfId="1" applyFill="1" applyAlignment="1" applyProtection="1"/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/>
    </xf>
    <xf numFmtId="0" fontId="17" fillId="0" borderId="9" xfId="0" applyFont="1" applyBorder="1" applyAlignment="1">
      <alignment horizontal="center" vertical="center" wrapText="1"/>
    </xf>
    <xf numFmtId="0" fontId="19" fillId="0" borderId="0" xfId="0" applyFont="1"/>
    <xf numFmtId="0" fontId="0" fillId="0" borderId="0" xfId="0" applyBorder="1"/>
    <xf numFmtId="0" fontId="0" fillId="0" borderId="34" xfId="0" applyBorder="1"/>
    <xf numFmtId="0" fontId="0" fillId="0" borderId="35" xfId="0" applyBorder="1"/>
    <xf numFmtId="0" fontId="0" fillId="0" borderId="18" xfId="0" applyBorder="1"/>
    <xf numFmtId="0" fontId="0" fillId="0" borderId="9" xfId="0" applyBorder="1"/>
    <xf numFmtId="0" fontId="0" fillId="0" borderId="20" xfId="0" applyBorder="1"/>
    <xf numFmtId="2" fontId="0" fillId="3" borderId="18" xfId="0" applyNumberFormat="1" applyFill="1" applyBorder="1"/>
    <xf numFmtId="0" fontId="0" fillId="3" borderId="18" xfId="0" applyFill="1" applyBorder="1"/>
    <xf numFmtId="0" fontId="0" fillId="3" borderId="20" xfId="0" applyFill="1" applyBorder="1"/>
    <xf numFmtId="0" fontId="0" fillId="3" borderId="9" xfId="0" applyFill="1" applyBorder="1"/>
    <xf numFmtId="167" fontId="0" fillId="0" borderId="18" xfId="0" applyNumberFormat="1" applyFill="1" applyBorder="1"/>
    <xf numFmtId="0" fontId="0" fillId="0" borderId="36" xfId="0" applyBorder="1"/>
    <xf numFmtId="2" fontId="0" fillId="3" borderId="34" xfId="0" applyNumberFormat="1" applyFill="1" applyBorder="1"/>
    <xf numFmtId="0" fontId="0" fillId="3" borderId="34" xfId="0" applyFill="1" applyBorder="1"/>
    <xf numFmtId="167" fontId="0" fillId="0" borderId="34" xfId="0" applyNumberFormat="1" applyFill="1" applyBorder="1"/>
    <xf numFmtId="0" fontId="0" fillId="0" borderId="37" xfId="0" applyBorder="1"/>
    <xf numFmtId="2" fontId="0" fillId="3" borderId="9" xfId="0" applyNumberFormat="1" applyFill="1" applyBorder="1"/>
    <xf numFmtId="167" fontId="0" fillId="0" borderId="9" xfId="0" applyNumberFormat="1" applyFill="1" applyBorder="1"/>
    <xf numFmtId="0" fontId="0" fillId="4" borderId="37" xfId="0" applyFill="1" applyBorder="1"/>
    <xf numFmtId="0" fontId="0" fillId="4" borderId="9" xfId="0" applyFill="1" applyBorder="1"/>
    <xf numFmtId="2" fontId="0" fillId="4" borderId="9" xfId="0" applyNumberFormat="1" applyFill="1" applyBorder="1"/>
    <xf numFmtId="167" fontId="0" fillId="4" borderId="9" xfId="0" applyNumberFormat="1" applyFill="1" applyBorder="1"/>
    <xf numFmtId="0" fontId="0" fillId="4" borderId="0" xfId="0" applyFill="1"/>
    <xf numFmtId="2" fontId="0" fillId="0" borderId="9" xfId="0" applyNumberFormat="1" applyBorder="1"/>
    <xf numFmtId="0" fontId="0" fillId="3" borderId="31" xfId="0" applyFill="1" applyBorder="1"/>
    <xf numFmtId="0" fontId="30" fillId="0" borderId="9" xfId="0" applyFont="1" applyBorder="1"/>
    <xf numFmtId="166" fontId="30" fillId="0" borderId="9" xfId="0" applyNumberFormat="1" applyFont="1" applyBorder="1"/>
    <xf numFmtId="0" fontId="29" fillId="0" borderId="9" xfId="0" applyFont="1" applyBorder="1"/>
    <xf numFmtId="0" fontId="18" fillId="4" borderId="9" xfId="0" applyFont="1" applyFill="1" applyBorder="1" applyAlignment="1">
      <alignment horizontal="center" vertical="center" wrapText="1"/>
    </xf>
    <xf numFmtId="0" fontId="0" fillId="0" borderId="37" xfId="0" applyFill="1" applyBorder="1"/>
    <xf numFmtId="0" fontId="0" fillId="0" borderId="9" xfId="0" applyFill="1" applyBorder="1"/>
    <xf numFmtId="2" fontId="0" fillId="0" borderId="9" xfId="0" applyNumberFormat="1" applyFill="1" applyBorder="1"/>
    <xf numFmtId="0" fontId="0" fillId="6" borderId="37" xfId="0" applyFill="1" applyBorder="1"/>
    <xf numFmtId="0" fontId="0" fillId="6" borderId="9" xfId="0" applyFill="1" applyBorder="1"/>
    <xf numFmtId="2" fontId="0" fillId="6" borderId="9" xfId="0" applyNumberFormat="1" applyFill="1" applyBorder="1"/>
    <xf numFmtId="167" fontId="0" fillId="6" borderId="9" xfId="0" applyNumberFormat="1" applyFill="1" applyBorder="1"/>
    <xf numFmtId="0" fontId="0" fillId="6" borderId="0" xfId="0" applyFill="1"/>
    <xf numFmtId="2" fontId="0" fillId="6" borderId="24" xfId="0" applyNumberFormat="1" applyFill="1" applyBorder="1"/>
    <xf numFmtId="0" fontId="0" fillId="6" borderId="24" xfId="0" applyFill="1" applyBorder="1"/>
    <xf numFmtId="167" fontId="0" fillId="6" borderId="24" xfId="0" applyNumberFormat="1" applyFill="1" applyBorder="1"/>
    <xf numFmtId="2" fontId="0" fillId="0" borderId="24" xfId="0" applyNumberFormat="1" applyFill="1" applyBorder="1"/>
    <xf numFmtId="0" fontId="0" fillId="0" borderId="24" xfId="0" applyFill="1" applyBorder="1"/>
    <xf numFmtId="167" fontId="0" fillId="0" borderId="24" xfId="0" applyNumberFormat="1" applyFill="1" applyBorder="1"/>
    <xf numFmtId="0" fontId="0" fillId="0" borderId="47" xfId="0" applyBorder="1"/>
    <xf numFmtId="0" fontId="0" fillId="0" borderId="13" xfId="0" applyBorder="1"/>
    <xf numFmtId="0" fontId="0" fillId="4" borderId="13" xfId="0" applyFill="1" applyBorder="1"/>
    <xf numFmtId="0" fontId="0" fillId="6" borderId="13" xfId="0" applyFill="1" applyBorder="1"/>
    <xf numFmtId="0" fontId="27" fillId="0" borderId="22" xfId="0" applyFont="1" applyFill="1" applyBorder="1" applyAlignment="1">
      <alignment vertical="center"/>
    </xf>
    <xf numFmtId="0" fontId="27" fillId="0" borderId="42" xfId="0" applyFont="1" applyFill="1" applyBorder="1" applyAlignment="1">
      <alignment vertical="center"/>
    </xf>
    <xf numFmtId="0" fontId="27" fillId="4" borderId="42" xfId="0" applyFont="1" applyFill="1" applyBorder="1" applyAlignment="1">
      <alignment vertical="center"/>
    </xf>
    <xf numFmtId="0" fontId="27" fillId="6" borderId="42" xfId="0" applyFont="1" applyFill="1" applyBorder="1" applyAlignment="1">
      <alignment vertical="center"/>
    </xf>
    <xf numFmtId="0" fontId="0" fillId="0" borderId="43" xfId="0" applyBorder="1"/>
    <xf numFmtId="0" fontId="0" fillId="0" borderId="29" xfId="0" applyBorder="1"/>
    <xf numFmtId="2" fontId="0" fillId="0" borderId="29" xfId="0" applyNumberFormat="1" applyBorder="1"/>
    <xf numFmtId="0" fontId="0" fillId="3" borderId="29" xfId="0" applyFill="1" applyBorder="1"/>
    <xf numFmtId="0" fontId="27" fillId="0" borderId="44" xfId="0" applyFont="1" applyFill="1" applyBorder="1" applyAlignment="1">
      <alignment vertical="center"/>
    </xf>
    <xf numFmtId="0" fontId="0" fillId="0" borderId="49" xfId="0" applyBorder="1"/>
    <xf numFmtId="0" fontId="24" fillId="0" borderId="39" xfId="0" applyFont="1" applyBorder="1"/>
    <xf numFmtId="0" fontId="0" fillId="3" borderId="39" xfId="0" applyFill="1" applyBorder="1"/>
    <xf numFmtId="0" fontId="28" fillId="3" borderId="39" xfId="0" applyFont="1" applyFill="1" applyBorder="1"/>
    <xf numFmtId="0" fontId="28" fillId="0" borderId="39" xfId="0" applyFont="1" applyFill="1" applyBorder="1"/>
    <xf numFmtId="0" fontId="28" fillId="5" borderId="39" xfId="0" applyFont="1" applyFill="1" applyBorder="1"/>
    <xf numFmtId="0" fontId="28" fillId="5" borderId="50" xfId="0" applyFont="1" applyFill="1" applyBorder="1"/>
    <xf numFmtId="0" fontId="18" fillId="0" borderId="9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vertical="center" wrapText="1"/>
    </xf>
    <xf numFmtId="0" fontId="16" fillId="4" borderId="11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/>
    </xf>
    <xf numFmtId="0" fontId="16" fillId="4" borderId="12" xfId="0" applyFont="1" applyFill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0" fillId="0" borderId="13" xfId="0" applyFill="1" applyBorder="1"/>
    <xf numFmtId="0" fontId="16" fillId="0" borderId="1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0" fillId="0" borderId="56" xfId="0" applyBorder="1"/>
    <xf numFmtId="0" fontId="28" fillId="5" borderId="8" xfId="0" applyFont="1" applyFill="1" applyBorder="1"/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vertical="center" wrapText="1"/>
    </xf>
    <xf numFmtId="0" fontId="0" fillId="0" borderId="26" xfId="0" applyBorder="1"/>
    <xf numFmtId="0" fontId="0" fillId="3" borderId="26" xfId="0" applyFill="1" applyBorder="1"/>
    <xf numFmtId="0" fontId="27" fillId="0" borderId="27" xfId="0" applyFont="1" applyFill="1" applyBorder="1" applyAlignment="1">
      <alignment vertical="center"/>
    </xf>
    <xf numFmtId="2" fontId="16" fillId="0" borderId="11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center" vertical="center" wrapText="1"/>
    </xf>
    <xf numFmtId="0" fontId="0" fillId="0" borderId="43" xfId="0" applyFill="1" applyBorder="1"/>
    <xf numFmtId="0" fontId="0" fillId="0" borderId="29" xfId="0" applyFill="1" applyBorder="1"/>
    <xf numFmtId="2" fontId="0" fillId="0" borderId="29" xfId="0" applyNumberFormat="1" applyFill="1" applyBorder="1"/>
    <xf numFmtId="0" fontId="0" fillId="0" borderId="31" xfId="0" applyFill="1" applyBorder="1"/>
    <xf numFmtId="0" fontId="0" fillId="0" borderId="56" xfId="0" applyFill="1" applyBorder="1"/>
    <xf numFmtId="0" fontId="15" fillId="0" borderId="11" xfId="0" applyFont="1" applyBorder="1" applyAlignment="1">
      <alignment horizontal="center"/>
    </xf>
    <xf numFmtId="0" fontId="0" fillId="2" borderId="37" xfId="0" applyFill="1" applyBorder="1"/>
    <xf numFmtId="0" fontId="0" fillId="2" borderId="9" xfId="0" applyFill="1" applyBorder="1"/>
    <xf numFmtId="2" fontId="0" fillId="2" borderId="9" xfId="0" applyNumberFormat="1" applyFill="1" applyBorder="1"/>
    <xf numFmtId="167" fontId="0" fillId="2" borderId="9" xfId="0" applyNumberFormat="1" applyFill="1" applyBorder="1"/>
    <xf numFmtId="0" fontId="27" fillId="2" borderId="42" xfId="0" applyFont="1" applyFill="1" applyBorder="1" applyAlignment="1">
      <alignment vertical="center"/>
    </xf>
    <xf numFmtId="0" fontId="0" fillId="2" borderId="13" xfId="0" applyFill="1" applyBorder="1"/>
    <xf numFmtId="0" fontId="0" fillId="2" borderId="0" xfId="0" applyFill="1"/>
    <xf numFmtId="0" fontId="10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vertical="top" wrapText="1"/>
    </xf>
    <xf numFmtId="1" fontId="2" fillId="0" borderId="5" xfId="0" applyNumberFormat="1" applyFont="1" applyBorder="1" applyAlignment="1">
      <alignment vertical="top" wrapText="1"/>
    </xf>
    <xf numFmtId="1" fontId="9" fillId="0" borderId="3" xfId="0" applyNumberFormat="1" applyFont="1" applyBorder="1" applyAlignment="1">
      <alignment vertical="top" wrapText="1"/>
    </xf>
    <xf numFmtId="1" fontId="9" fillId="0" borderId="5" xfId="0" applyNumberFormat="1" applyFont="1" applyBorder="1" applyAlignment="1">
      <alignment vertical="top" wrapText="1"/>
    </xf>
    <xf numFmtId="0" fontId="10" fillId="0" borderId="9" xfId="0" applyFont="1" applyFill="1" applyBorder="1" applyAlignment="1">
      <alignment horizontal="center" vertical="top" wrapText="1"/>
    </xf>
    <xf numFmtId="0" fontId="33" fillId="0" borderId="9" xfId="0" applyFont="1" applyFill="1" applyBorder="1" applyAlignment="1">
      <alignment horizontal="left" vertical="top" wrapText="1"/>
    </xf>
    <xf numFmtId="14" fontId="2" fillId="0" borderId="3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vertical="top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2" fontId="34" fillId="0" borderId="36" xfId="0" applyNumberFormat="1" applyFont="1" applyFill="1" applyBorder="1" applyAlignment="1">
      <alignment horizontal="center" vertical="center"/>
    </xf>
    <xf numFmtId="2" fontId="12" fillId="0" borderId="34" xfId="0" applyNumberFormat="1" applyFont="1" applyFill="1" applyBorder="1" applyAlignment="1">
      <alignment horizontal="center" vertical="center" wrapText="1"/>
    </xf>
    <xf numFmtId="2" fontId="12" fillId="0" borderId="52" xfId="0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0" fontId="12" fillId="0" borderId="0" xfId="0" applyFont="1" applyFill="1" applyAlignment="1">
      <alignment horizontal="center"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top" wrapText="1"/>
    </xf>
    <xf numFmtId="166" fontId="12" fillId="0" borderId="36" xfId="0" applyNumberFormat="1" applyFont="1" applyFill="1" applyBorder="1" applyAlignment="1">
      <alignment horizontal="center" vertical="center" wrapText="1"/>
    </xf>
    <xf numFmtId="166" fontId="12" fillId="0" borderId="34" xfId="0" applyNumberFormat="1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10" fontId="34" fillId="0" borderId="0" xfId="0" applyNumberFormat="1" applyFont="1" applyFill="1"/>
    <xf numFmtId="0" fontId="34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left"/>
    </xf>
    <xf numFmtId="0" fontId="22" fillId="0" borderId="0" xfId="0" applyFont="1" applyFill="1" applyBorder="1" applyAlignment="1">
      <alignment wrapText="1"/>
    </xf>
    <xf numFmtId="0" fontId="22" fillId="0" borderId="0" xfId="0" applyFont="1" applyFill="1" applyBorder="1" applyAlignment="1">
      <alignment horizontal="center" wrapText="1"/>
    </xf>
    <xf numFmtId="0" fontId="38" fillId="0" borderId="0" xfId="0" applyFont="1" applyFill="1" applyAlignment="1"/>
    <xf numFmtId="0" fontId="2" fillId="0" borderId="8" xfId="0" applyFont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vertical="top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1" fontId="40" fillId="0" borderId="5" xfId="0" applyNumberFormat="1" applyFont="1" applyFill="1" applyBorder="1" applyAlignment="1">
      <alignment horizontal="center" vertical="center" wrapText="1"/>
    </xf>
    <xf numFmtId="0" fontId="40" fillId="0" borderId="5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/>
    <xf numFmtId="0" fontId="41" fillId="0" borderId="0" xfId="0" applyFont="1" applyFill="1" applyAlignment="1">
      <alignment horizontal="center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" fontId="12" fillId="0" borderId="5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12" fillId="0" borderId="43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vertical="center" wrapText="1"/>
    </xf>
    <xf numFmtId="0" fontId="12" fillId="0" borderId="45" xfId="0" applyFont="1" applyFill="1" applyBorder="1" applyAlignment="1">
      <alignment vertical="center" wrapText="1"/>
    </xf>
    <xf numFmtId="0" fontId="12" fillId="0" borderId="45" xfId="0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1" fontId="12" fillId="0" borderId="4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45" xfId="0" applyFont="1" applyFill="1" applyBorder="1" applyAlignment="1">
      <alignment vertical="center" wrapText="1"/>
    </xf>
    <xf numFmtId="0" fontId="2" fillId="0" borderId="45" xfId="0" applyFont="1" applyFill="1" applyBorder="1" applyAlignment="1">
      <alignment horizontal="center" vertical="center" wrapText="1"/>
    </xf>
    <xf numFmtId="2" fontId="12" fillId="0" borderId="53" xfId="0" applyNumberFormat="1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2" fontId="12" fillId="0" borderId="36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4" xfId="0" applyBorder="1" applyAlignment="1">
      <alignment horizontal="center"/>
    </xf>
    <xf numFmtId="166" fontId="34" fillId="0" borderId="0" xfId="0" applyNumberFormat="1" applyFont="1" applyFill="1" applyAlignment="1">
      <alignment vertical="center"/>
    </xf>
    <xf numFmtId="1" fontId="0" fillId="0" borderId="0" xfId="0" applyNumberFormat="1"/>
    <xf numFmtId="166" fontId="41" fillId="0" borderId="0" xfId="0" applyNumberFormat="1" applyFont="1" applyFill="1" applyAlignment="1"/>
    <xf numFmtId="0" fontId="2" fillId="0" borderId="3" xfId="0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vertical="center" wrapText="1"/>
    </xf>
    <xf numFmtId="10" fontId="0" fillId="0" borderId="0" xfId="0" applyNumberFormat="1" applyFill="1"/>
    <xf numFmtId="1" fontId="13" fillId="0" borderId="5" xfId="0" applyNumberFormat="1" applyFont="1" applyFill="1" applyBorder="1" applyAlignment="1">
      <alignment horizontal="center" vertical="center" wrapText="1"/>
    </xf>
    <xf numFmtId="1" fontId="0" fillId="0" borderId="0" xfId="0" applyNumberFormat="1" applyFill="1" applyAlignment="1">
      <alignment vertical="center"/>
    </xf>
    <xf numFmtId="10" fontId="0" fillId="0" borderId="0" xfId="0" applyNumberFormat="1" applyFill="1" applyAlignment="1">
      <alignment vertical="center"/>
    </xf>
    <xf numFmtId="2" fontId="34" fillId="7" borderId="36" xfId="0" applyNumberFormat="1" applyFont="1" applyFill="1" applyBorder="1" applyAlignment="1">
      <alignment horizontal="center" vertical="center"/>
    </xf>
    <xf numFmtId="2" fontId="12" fillId="7" borderId="34" xfId="0" applyNumberFormat="1" applyFont="1" applyFill="1" applyBorder="1" applyAlignment="1">
      <alignment horizontal="center" vertical="center" wrapText="1"/>
    </xf>
    <xf numFmtId="2" fontId="12" fillId="7" borderId="53" xfId="0" applyNumberFormat="1" applyFont="1" applyFill="1" applyBorder="1" applyAlignment="1">
      <alignment horizontal="center" vertical="center" wrapText="1"/>
    </xf>
    <xf numFmtId="2" fontId="12" fillId="7" borderId="36" xfId="0" applyNumberFormat="1" applyFont="1" applyFill="1" applyBorder="1" applyAlignment="1">
      <alignment horizontal="center" vertical="center" wrapText="1"/>
    </xf>
    <xf numFmtId="2" fontId="12" fillId="7" borderId="52" xfId="0" applyNumberFormat="1" applyFont="1" applyFill="1" applyBorder="1" applyAlignment="1">
      <alignment horizontal="center" vertical="center" wrapText="1"/>
    </xf>
    <xf numFmtId="0" fontId="3" fillId="0" borderId="0" xfId="1" applyAlignment="1" applyProtection="1"/>
    <xf numFmtId="165" fontId="0" fillId="0" borderId="0" xfId="0" applyNumberFormat="1" applyFill="1"/>
    <xf numFmtId="0" fontId="2" fillId="0" borderId="3" xfId="0" applyFont="1" applyBorder="1" applyAlignment="1">
      <alignment horizontal="center" vertical="top" wrapText="1"/>
    </xf>
    <xf numFmtId="0" fontId="34" fillId="0" borderId="0" xfId="0" applyFont="1" applyFill="1" applyAlignment="1"/>
    <xf numFmtId="0" fontId="12" fillId="0" borderId="0" xfId="0" applyFont="1" applyFill="1" applyAlignment="1">
      <alignment horizontal="justify"/>
    </xf>
    <xf numFmtId="0" fontId="12" fillId="0" borderId="6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14" fontId="12" fillId="0" borderId="3" xfId="0" applyNumberFormat="1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1" fontId="34" fillId="0" borderId="0" xfId="0" applyNumberFormat="1" applyFont="1" applyFill="1"/>
    <xf numFmtId="14" fontId="12" fillId="0" borderId="8" xfId="0" applyNumberFormat="1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2" fillId="0" borderId="5" xfId="0" applyFont="1" applyFill="1" applyBorder="1" applyAlignment="1">
      <alignment horizontal="left" vertical="center" wrapText="1"/>
    </xf>
    <xf numFmtId="0" fontId="39" fillId="0" borderId="8" xfId="0" applyFont="1" applyFill="1" applyBorder="1" applyAlignment="1">
      <alignment horizontal="center" vertical="center"/>
    </xf>
    <xf numFmtId="0" fontId="39" fillId="0" borderId="4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top" wrapText="1"/>
    </xf>
    <xf numFmtId="166" fontId="12" fillId="0" borderId="5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right"/>
    </xf>
    <xf numFmtId="0" fontId="2" fillId="0" borderId="5" xfId="0" applyFont="1" applyBorder="1" applyAlignment="1">
      <alignment vertical="center" wrapText="1"/>
    </xf>
    <xf numFmtId="1" fontId="2" fillId="0" borderId="5" xfId="0" applyNumberFormat="1" applyFont="1" applyBorder="1" applyAlignment="1">
      <alignment vertical="center" wrapText="1"/>
    </xf>
    <xf numFmtId="1" fontId="2" fillId="0" borderId="16" xfId="0" applyNumberFormat="1" applyFont="1" applyBorder="1" applyAlignment="1">
      <alignment vertical="top" wrapText="1"/>
    </xf>
    <xf numFmtId="0" fontId="41" fillId="0" borderId="0" xfId="0" applyFont="1"/>
    <xf numFmtId="2" fontId="2" fillId="0" borderId="5" xfId="0" applyNumberFormat="1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3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7" xfId="1" applyFill="1" applyBorder="1" applyAlignment="1" applyProtection="1">
      <alignment vertical="center" wrapText="1"/>
    </xf>
    <xf numFmtId="0" fontId="3" fillId="0" borderId="6" xfId="1" applyFill="1" applyBorder="1" applyAlignment="1" applyProtection="1">
      <alignment vertical="center" wrapText="1"/>
    </xf>
    <xf numFmtId="0" fontId="3" fillId="0" borderId="4" xfId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vertical="center" wrapText="1"/>
    </xf>
    <xf numFmtId="14" fontId="12" fillId="0" borderId="3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vertical="center" wrapText="1"/>
    </xf>
    <xf numFmtId="0" fontId="39" fillId="0" borderId="3" xfId="0" applyFont="1" applyFill="1" applyBorder="1" applyAlignment="1">
      <alignment vertical="center" wrapText="1"/>
    </xf>
    <xf numFmtId="0" fontId="40" fillId="0" borderId="7" xfId="0" applyFont="1" applyFill="1" applyBorder="1" applyAlignment="1">
      <alignment vertical="center" wrapText="1"/>
    </xf>
    <xf numFmtId="0" fontId="40" fillId="0" borderId="6" xfId="0" applyFont="1" applyFill="1" applyBorder="1" applyAlignment="1">
      <alignment vertical="center" wrapText="1"/>
    </xf>
    <xf numFmtId="0" fontId="40" fillId="0" borderId="4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0" borderId="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1" fontId="39" fillId="0" borderId="1" xfId="0" applyNumberFormat="1" applyFont="1" applyFill="1" applyBorder="1" applyAlignment="1">
      <alignment horizontal="center" vertical="center"/>
    </xf>
    <xf numFmtId="0" fontId="39" fillId="0" borderId="3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/>
    </xf>
    <xf numFmtId="0" fontId="12" fillId="0" borderId="35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vertical="center" wrapText="1"/>
    </xf>
    <xf numFmtId="0" fontId="12" fillId="0" borderId="42" xfId="0" applyFont="1" applyFill="1" applyBorder="1" applyAlignment="1">
      <alignment vertical="center" wrapText="1"/>
    </xf>
    <xf numFmtId="0" fontId="12" fillId="0" borderId="35" xfId="0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55" xfId="0" applyFont="1" applyFill="1" applyBorder="1" applyAlignment="1">
      <alignment horizontal="center" vertical="top" wrapText="1"/>
    </xf>
    <xf numFmtId="0" fontId="12" fillId="0" borderId="22" xfId="0" applyFont="1" applyFill="1" applyBorder="1" applyAlignment="1">
      <alignment horizontal="center" vertical="top" wrapText="1"/>
    </xf>
    <xf numFmtId="0" fontId="12" fillId="0" borderId="54" xfId="0" applyFont="1" applyFill="1" applyBorder="1" applyAlignment="1">
      <alignment horizontal="center" vertical="top" wrapText="1"/>
    </xf>
    <xf numFmtId="0" fontId="12" fillId="0" borderId="24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top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 wrapText="1"/>
    </xf>
    <xf numFmtId="0" fontId="10" fillId="0" borderId="9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wrapText="1"/>
    </xf>
    <xf numFmtId="0" fontId="33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top"/>
    </xf>
    <xf numFmtId="0" fontId="29" fillId="0" borderId="11" xfId="0" applyFont="1" applyBorder="1"/>
    <xf numFmtId="0" fontId="29" fillId="0" borderId="12" xfId="0" applyFont="1" applyBorder="1"/>
    <xf numFmtId="0" fontId="29" fillId="0" borderId="13" xfId="0" applyFont="1" applyBorder="1"/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5" fillId="0" borderId="14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4" fillId="0" borderId="39" xfId="0" applyFont="1" applyBorder="1" applyAlignment="1">
      <alignment horizontal="center"/>
    </xf>
    <xf numFmtId="0" fontId="24" fillId="0" borderId="4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/>
    </xf>
    <xf numFmtId="0" fontId="24" fillId="0" borderId="35" xfId="0" applyFont="1" applyBorder="1" applyAlignment="1">
      <alignment horizontal="center" vertical="center" wrapText="1"/>
    </xf>
    <xf numFmtId="0" fontId="24" fillId="0" borderId="37" xfId="0" applyFont="1" applyBorder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9" xfId="0" applyFont="1" applyBorder="1" applyAlignment="1">
      <alignment vertical="center" wrapText="1"/>
    </xf>
    <xf numFmtId="0" fontId="24" fillId="0" borderId="29" xfId="0" applyFont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24" fillId="0" borderId="29" xfId="0" applyFont="1" applyBorder="1" applyAlignment="1"/>
    <xf numFmtId="0" fontId="24" fillId="0" borderId="11" xfId="0" applyFont="1" applyBorder="1" applyAlignment="1">
      <alignment horizontal="center" vertical="center" wrapText="1"/>
    </xf>
    <xf numFmtId="0" fontId="24" fillId="0" borderId="30" xfId="0" applyFont="1" applyBorder="1" applyAlignment="1"/>
    <xf numFmtId="0" fontId="24" fillId="0" borderId="24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 wrapText="1"/>
    </xf>
    <xf numFmtId="165" fontId="15" fillId="4" borderId="11" xfId="0" applyNumberFormat="1" applyFont="1" applyFill="1" applyBorder="1" applyAlignment="1">
      <alignment horizontal="center" vertical="center" wrapText="1"/>
    </xf>
    <xf numFmtId="165" fontId="15" fillId="4" borderId="13" xfId="0" applyNumberFormat="1" applyFont="1" applyFill="1" applyBorder="1" applyAlignment="1">
      <alignment horizontal="center" vertical="center" wrapText="1"/>
    </xf>
    <xf numFmtId="2" fontId="5" fillId="4" borderId="9" xfId="0" applyNumberFormat="1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2" fontId="5" fillId="4" borderId="34" xfId="0" applyNumberFormat="1" applyFont="1" applyFill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18" fillId="4" borderId="11" xfId="0" applyNumberFormat="1" applyFont="1" applyFill="1" applyBorder="1" applyAlignment="1">
      <alignment horizontal="center" vertical="center" wrapText="1"/>
    </xf>
    <xf numFmtId="2" fontId="18" fillId="4" borderId="13" xfId="0" applyNumberFormat="1" applyFont="1" applyFill="1" applyBorder="1" applyAlignment="1">
      <alignment horizontal="center" vertical="center" wrapText="1"/>
    </xf>
    <xf numFmtId="2" fontId="16" fillId="0" borderId="11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58" xfId="0" applyFont="1" applyBorder="1" applyAlignment="1">
      <alignment horizontal="left" vertical="center" wrapText="1"/>
    </xf>
    <xf numFmtId="0" fontId="25" fillId="0" borderId="59" xfId="0" applyFont="1" applyBorder="1" applyAlignment="1">
      <alignment horizontal="left" vertical="center" wrapText="1"/>
    </xf>
    <xf numFmtId="0" fontId="25" fillId="0" borderId="47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7" xfId="1" applyBorder="1" applyAlignment="1" applyProtection="1">
      <alignment vertical="top" wrapText="1"/>
    </xf>
    <xf numFmtId="0" fontId="3" fillId="0" borderId="6" xfId="1" applyBorder="1" applyAlignment="1" applyProtection="1">
      <alignment vertical="top" wrapText="1"/>
    </xf>
    <xf numFmtId="0" fontId="3" fillId="0" borderId="4" xfId="1" applyBorder="1" applyAlignment="1" applyProtection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42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60" xfId="0" applyFont="1" applyFill="1" applyBorder="1" applyAlignment="1">
      <alignment horizontal="center" vertical="center" wrapText="1"/>
    </xf>
    <xf numFmtId="0" fontId="43" fillId="0" borderId="7" xfId="1" applyFont="1" applyFill="1" applyBorder="1" applyAlignment="1" applyProtection="1">
      <alignment vertical="top" wrapText="1"/>
    </xf>
    <xf numFmtId="0" fontId="43" fillId="0" borderId="6" xfId="1" applyFont="1" applyFill="1" applyBorder="1" applyAlignment="1" applyProtection="1">
      <alignment vertical="top" wrapText="1"/>
    </xf>
    <xf numFmtId="0" fontId="43" fillId="0" borderId="4" xfId="1" applyFont="1" applyFill="1" applyBorder="1" applyAlignment="1" applyProtection="1">
      <alignment vertical="top" wrapText="1"/>
    </xf>
    <xf numFmtId="0" fontId="12" fillId="0" borderId="7" xfId="0" applyFont="1" applyFill="1" applyBorder="1" applyAlignment="1">
      <alignment vertical="top" wrapText="1"/>
    </xf>
    <xf numFmtId="0" fontId="12" fillId="0" borderId="6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14" fontId="12" fillId="0" borderId="1" xfId="0" applyNumberFormat="1" applyFont="1" applyFill="1" applyBorder="1" applyAlignment="1">
      <alignment horizontal="center" vertical="top" wrapText="1"/>
    </xf>
    <xf numFmtId="14" fontId="12" fillId="0" borderId="2" xfId="0" applyNumberFormat="1" applyFont="1" applyFill="1" applyBorder="1" applyAlignment="1">
      <alignment horizontal="center" vertical="top" wrapText="1"/>
    </xf>
    <xf numFmtId="14" fontId="12" fillId="0" borderId="3" xfId="0" applyNumberFormat="1" applyFont="1" applyFill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6;&#1069;&#1050;%2020/&#1056;&#1072;&#1089;&#1095;&#1077;&#1090;&#1091;%20&#1050;&#1059;%2014%20&#1072;&#1074;&#1075;/&#1053;&#1072;%20&#1086;&#1090;&#1087;&#1088;&#1072;&#1074;&#1082;&#1091;/&#1052;&#1050;&#1055;%20&#1057;&#1082;&#1086;&#1087;&#1080;&#1085;&#1089;&#1082;&#1080;&#1077;%20&#1090;&#1077;&#1087;&#1083;&#1086;&#1074;&#1099;&#1077;%20&#1089;&#1077;&#1090;&#1080;_&#1064;&#1072;&#1073;&#1083;&#1086;&#1085;_&#1058;&#1069;_&#1048;_2019-23_(2020%20&#1075;&#1086;&#107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40;&#1089;&#1087;&#1086;&#1088;&#1090;%20&#1058;&#1057;/&#1087;&#1072;&#1089;&#1087;&#1086;&#1088;&#1090;%20&#1090;&#1077;&#1087;.%20&#1089;&#1077;&#1090;&#1080;%20&#1086;&#1090;%2013.04.17/&#1058;&#1077;&#1087;&#1083;&#1086;&#1087;&#1086;&#1090;&#1077;&#1088;&#1080;%20&#1090;&#1088;&#1091;&#1073;&#1086;&#1087;&#1088;&#1086;&#1074;&#1086;&#1076;&#1072;&#1084;&#1080;%20(&#1087;&#1086;%20325%20&#1084;&#1077;&#1090;&#1086;&#1076;&#1080;&#1082;&#1077;)%20&#1088;&#1077;&#1076;&#1072;&#1082;&#1090;&#1080;&#1088;&#1086;&#1074;&#1072;&#1085;&#1086;%2005.06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6;&#1069;&#1050;%2018/&#1048;&#1055;%20&#1085;&#1072;%2018%20&#1075;/2018%20&#1048;&#1085;&#1074;&#1077;&#1089;&#1090;%20&#1080;&#1079;&#1084;%20&#1087;&#1088;&#1080;&#1085;&#1103;&#1090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Л"/>
      <sheetName val="ПО_жд_от"/>
      <sheetName val="ПО_жд_гвс"/>
      <sheetName val="ПО_юр"/>
      <sheetName val="ПО"/>
      <sheetName val="ОР_1"/>
      <sheetName val="ОР_1.1"/>
      <sheetName val="ОР_2"/>
      <sheetName val="ОР_3"/>
      <sheetName val="ОР_3.1"/>
      <sheetName val="ОР_3.2"/>
      <sheetName val="ОР_3.3"/>
      <sheetName val="ОР_4"/>
      <sheetName val="ОР_5"/>
      <sheetName val="БУОР"/>
      <sheetName val="УЕ"/>
      <sheetName val="ОР"/>
      <sheetName val="Ам_2020 г.+налог на имущ-во"/>
      <sheetName val="Ам_2019 г."/>
      <sheetName val="НР"/>
      <sheetName val="оборуд"/>
      <sheetName val="Т"/>
      <sheetName val="эл"/>
      <sheetName val="прочие ЭР"/>
      <sheetName val="ЭР"/>
      <sheetName val="НВВ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7">
          <cell r="P37">
            <v>1.0210126061155254</v>
          </cell>
        </row>
        <row r="41">
          <cell r="P41">
            <v>1.0197843016172154</v>
          </cell>
        </row>
      </sheetData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 трубопров отопление"/>
      <sheetName val="потери трубопров ГВС(+отопл2к)"/>
      <sheetName val="потери в магистр сети пзцм"/>
      <sheetName val="Исходные данные"/>
      <sheetName val="ГВС"/>
      <sheetName val="Заявка на ПЗЦМ"/>
      <sheetName val="Табл 1.2"/>
      <sheetName val="Табл 1.3"/>
    </sheetNames>
    <sheetDataSet>
      <sheetData sheetId="0"/>
      <sheetData sheetId="1"/>
      <sheetData sheetId="2"/>
      <sheetData sheetId="3">
        <row r="23">
          <cell r="I23">
            <v>210.2</v>
          </cell>
        </row>
        <row r="25">
          <cell r="J25">
            <v>57</v>
          </cell>
        </row>
        <row r="26">
          <cell r="J26">
            <v>46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аспорт"/>
      <sheetName val="ИП"/>
      <sheetName val="показатели надежности"/>
      <sheetName val="ФинПлан"/>
      <sheetName val="3 ип"/>
      <sheetName val="отчетИП 1 кв"/>
      <sheetName val="отчет о надежности1кв"/>
      <sheetName val="отчетИП 2 кв ("/>
      <sheetName val="отчет о надежности 2кв)"/>
      <sheetName val="п. 4.1."/>
      <sheetName val="п. 4.2."/>
      <sheetName val="п. 4.3."/>
    </sheetNames>
    <sheetDataSet>
      <sheetData sheetId="0"/>
      <sheetData sheetId="1"/>
      <sheetData sheetId="2"/>
      <sheetData sheetId="3">
        <row r="11">
          <cell r="A11">
            <v>1</v>
          </cell>
          <cell r="C11">
            <v>0</v>
          </cell>
          <cell r="D11">
            <v>0</v>
          </cell>
        </row>
      </sheetData>
      <sheetData sheetId="4"/>
      <sheetData sheetId="5"/>
      <sheetData sheetId="6">
        <row r="3">
          <cell r="A3" t="str">
            <v>Муниципальное казенное предприятие "Скопинские тепловые сети Мунципального образования городской округ г. Скопин Рязанской области</v>
          </cell>
        </row>
      </sheetData>
      <sheetData sheetId="7"/>
      <sheetData sheetId="8">
        <row r="4">
          <cell r="A4" t="str">
            <v xml:space="preserve">                    в сфере теплоснабжения за 2 квартал 2018 года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mailto:S_Lobur@mail.ru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22"/>
  <sheetViews>
    <sheetView view="pageBreakPreview" topLeftCell="A3" zoomScale="60" zoomScaleNormal="100" workbookViewId="0">
      <selection activeCell="E23" sqref="E23"/>
    </sheetView>
  </sheetViews>
  <sheetFormatPr defaultRowHeight="15" x14ac:dyDescent="0.25"/>
  <cols>
    <col min="1" max="1" width="82.140625" style="17" customWidth="1"/>
  </cols>
  <sheetData>
    <row r="1" spans="1:1" hidden="1" x14ac:dyDescent="0.25">
      <c r="A1" s="17" t="s">
        <v>117</v>
      </c>
    </row>
    <row r="2" spans="1:1" ht="30" hidden="1" x14ac:dyDescent="0.25">
      <c r="A2" s="17" t="s">
        <v>118</v>
      </c>
    </row>
    <row r="3" spans="1:1" x14ac:dyDescent="0.25">
      <c r="A3" s="21" t="s">
        <v>157</v>
      </c>
    </row>
    <row r="4" spans="1:1" x14ac:dyDescent="0.25">
      <c r="A4" s="21" t="s">
        <v>158</v>
      </c>
    </row>
    <row r="5" spans="1:1" x14ac:dyDescent="0.25">
      <c r="A5" s="21" t="s">
        <v>159</v>
      </c>
    </row>
    <row r="6" spans="1:1" x14ac:dyDescent="0.25">
      <c r="A6" s="21" t="s">
        <v>160</v>
      </c>
    </row>
    <row r="7" spans="1:1" ht="27" customHeight="1" x14ac:dyDescent="0.25">
      <c r="A7" s="21" t="s">
        <v>161</v>
      </c>
    </row>
    <row r="8" spans="1:1" ht="27" customHeight="1" x14ac:dyDescent="0.25">
      <c r="A8" s="21" t="s">
        <v>295</v>
      </c>
    </row>
    <row r="9" spans="1:1" ht="39" customHeight="1" x14ac:dyDescent="0.25">
      <c r="A9" s="21"/>
    </row>
    <row r="10" spans="1:1" ht="24" customHeight="1" x14ac:dyDescent="0.25">
      <c r="A10" s="18" t="s">
        <v>119</v>
      </c>
    </row>
    <row r="11" spans="1:1" ht="24" customHeight="1" x14ac:dyDescent="0.25">
      <c r="A11" s="18" t="s">
        <v>190</v>
      </c>
    </row>
    <row r="12" spans="1:1" ht="24" customHeight="1" x14ac:dyDescent="0.25">
      <c r="A12" s="18" t="s">
        <v>120</v>
      </c>
    </row>
    <row r="13" spans="1:1" ht="24" customHeight="1" x14ac:dyDescent="0.25">
      <c r="A13" s="18"/>
    </row>
    <row r="14" spans="1:1" ht="24" customHeight="1" x14ac:dyDescent="0.25">
      <c r="A14" s="18" t="s">
        <v>121</v>
      </c>
    </row>
    <row r="15" spans="1:1" ht="24" customHeight="1" x14ac:dyDescent="0.25">
      <c r="A15" s="18" t="s">
        <v>281</v>
      </c>
    </row>
    <row r="16" spans="1:1" ht="122.25" customHeight="1" x14ac:dyDescent="0.25"/>
    <row r="17" spans="1:1" ht="20.25" customHeight="1" x14ac:dyDescent="0.25">
      <c r="A17" s="17" t="s">
        <v>122</v>
      </c>
    </row>
    <row r="18" spans="1:1" ht="30" x14ac:dyDescent="0.25">
      <c r="A18" s="19" t="s">
        <v>123</v>
      </c>
    </row>
    <row r="19" spans="1:1" ht="30" x14ac:dyDescent="0.25">
      <c r="A19" s="19" t="s">
        <v>124</v>
      </c>
    </row>
    <row r="20" spans="1:1" x14ac:dyDescent="0.25">
      <c r="A20" s="19" t="s">
        <v>151</v>
      </c>
    </row>
    <row r="21" spans="1:1" ht="46.5" customHeight="1" x14ac:dyDescent="0.25"/>
    <row r="22" spans="1:1" x14ac:dyDescent="0.25">
      <c r="A22" s="17" t="s">
        <v>290</v>
      </c>
    </row>
  </sheetData>
  <pageMargins left="1.1399999999999999" right="0.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1:T42"/>
  <sheetViews>
    <sheetView view="pageBreakPreview" zoomScale="60" zoomScaleNormal="73" workbookViewId="0">
      <selection activeCell="B17" sqref="B17:R20"/>
    </sheetView>
  </sheetViews>
  <sheetFormatPr defaultRowHeight="15" outlineLevelRow="1" x14ac:dyDescent="0.25"/>
  <cols>
    <col min="2" max="2" width="19.85546875" customWidth="1"/>
    <col min="4" max="4" width="9.85546875" bestFit="1" customWidth="1"/>
    <col min="8" max="8" width="10.7109375" customWidth="1"/>
    <col min="11" max="11" width="15.7109375" customWidth="1"/>
    <col min="13" max="13" width="9.140625" customWidth="1"/>
    <col min="17" max="17" width="10.28515625" customWidth="1"/>
  </cols>
  <sheetData>
    <row r="1" spans="2:18" ht="36" customHeight="1" x14ac:dyDescent="0.35">
      <c r="B1" s="391" t="s">
        <v>223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2:18" ht="57.75" customHeight="1" x14ac:dyDescent="0.35">
      <c r="B2" s="392" t="str">
        <f>CONCATENATE(ИП!A41," ",ИП!B41)</f>
        <v>4.4. Реконструкция  участка подземной  теплотрассы в мкр. АЗМР от ж/дома № 35 до ТК-46 протяженностью 119 м.п. в 4-х трубном исполнении, трубы  сталные  в ППУ изоляции Д=273 мм; Д=219 мм; Д=159 мм  в г. Скопине  Рязанской  области.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</row>
    <row r="4" spans="2:18" ht="127.5" customHeight="1" x14ac:dyDescent="0.25">
      <c r="B4" s="36" t="s">
        <v>191</v>
      </c>
      <c r="C4" s="36" t="s">
        <v>192</v>
      </c>
      <c r="D4" s="36" t="s">
        <v>226</v>
      </c>
      <c r="E4" s="36" t="s">
        <v>227</v>
      </c>
      <c r="F4" s="36" t="s">
        <v>228</v>
      </c>
      <c r="G4" s="36" t="s">
        <v>231</v>
      </c>
      <c r="H4" s="36" t="s">
        <v>232</v>
      </c>
      <c r="I4" s="36" t="s">
        <v>225</v>
      </c>
      <c r="J4" s="36" t="s">
        <v>284</v>
      </c>
      <c r="K4" s="393" t="s">
        <v>193</v>
      </c>
      <c r="L4" s="394"/>
      <c r="M4" s="397" t="s">
        <v>143</v>
      </c>
      <c r="N4" s="398"/>
      <c r="O4" s="398"/>
      <c r="P4" s="399"/>
    </row>
    <row r="5" spans="2:18" s="16" customFormat="1" ht="15" customHeight="1" x14ac:dyDescent="0.25">
      <c r="B5" s="121" t="s">
        <v>218</v>
      </c>
      <c r="C5" s="122"/>
      <c r="D5" s="122">
        <f>SUM(D7:D9)</f>
        <v>0.23799999999999999</v>
      </c>
      <c r="E5" s="122">
        <f t="shared" ref="E5:H5" si="0">SUM(E7:E9)</f>
        <v>0.23799999999999999</v>
      </c>
      <c r="F5" s="122">
        <f t="shared" si="0"/>
        <v>0</v>
      </c>
      <c r="G5" s="122">
        <f t="shared" si="0"/>
        <v>0</v>
      </c>
      <c r="H5" s="122">
        <f t="shared" si="0"/>
        <v>0</v>
      </c>
      <c r="I5" s="122">
        <f>SUM(I7:I9)</f>
        <v>131.30000000000001</v>
      </c>
      <c r="J5" s="40"/>
      <c r="K5" s="388">
        <f>S33/I5</f>
        <v>2.8417006328287577</v>
      </c>
      <c r="L5" s="389"/>
      <c r="M5" s="396">
        <f>(P35+P34+P33)*E42</f>
        <v>329.12275199999999</v>
      </c>
      <c r="N5" s="396"/>
      <c r="O5" s="396"/>
      <c r="P5" s="396"/>
    </row>
    <row r="6" spans="2:18" x14ac:dyDescent="0.25">
      <c r="B6" s="37" t="s">
        <v>194</v>
      </c>
      <c r="C6" s="38"/>
      <c r="D6" s="39"/>
      <c r="E6" s="39"/>
      <c r="F6" s="39"/>
      <c r="G6" s="39"/>
      <c r="H6" s="39"/>
      <c r="I6" s="48"/>
      <c r="J6" s="40"/>
      <c r="K6" s="334"/>
      <c r="L6" s="335"/>
      <c r="M6" s="336"/>
      <c r="N6" s="336"/>
      <c r="O6" s="336"/>
      <c r="P6" s="336"/>
    </row>
    <row r="7" spans="2:18" x14ac:dyDescent="0.25">
      <c r="B7" s="115">
        <v>300</v>
      </c>
      <c r="C7" s="41">
        <v>325</v>
      </c>
      <c r="D7" s="41">
        <f>0.134/2</f>
        <v>6.7000000000000004E-2</v>
      </c>
      <c r="E7" s="41">
        <f>D7</f>
        <v>6.7000000000000004E-2</v>
      </c>
      <c r="F7" s="41"/>
      <c r="G7" s="41"/>
      <c r="H7" s="41"/>
      <c r="I7" s="108">
        <f>$C7*D7*2</f>
        <v>43.550000000000004</v>
      </c>
      <c r="J7" s="42"/>
      <c r="K7" s="402"/>
      <c r="L7" s="403"/>
      <c r="M7" s="336"/>
      <c r="N7" s="336"/>
      <c r="O7" s="336"/>
      <c r="P7" s="336"/>
    </row>
    <row r="8" spans="2:18" x14ac:dyDescent="0.25">
      <c r="B8" s="115">
        <v>250</v>
      </c>
      <c r="C8" s="41">
        <v>273</v>
      </c>
      <c r="D8" s="41">
        <f>0.238/2</f>
        <v>0.11899999999999999</v>
      </c>
      <c r="E8" s="41">
        <f t="shared" ref="E8:E9" si="1">D8</f>
        <v>0.11899999999999999</v>
      </c>
      <c r="F8" s="41"/>
      <c r="G8" s="41"/>
      <c r="H8" s="41"/>
      <c r="I8" s="108">
        <f t="shared" ref="I8:I9" si="2">$C8*D8*2</f>
        <v>64.974000000000004</v>
      </c>
      <c r="J8" s="42"/>
      <c r="K8" s="128"/>
      <c r="L8" s="129"/>
      <c r="M8" s="336"/>
      <c r="N8" s="336"/>
      <c r="O8" s="336"/>
      <c r="P8" s="336"/>
    </row>
    <row r="9" spans="2:18" x14ac:dyDescent="0.25">
      <c r="B9" s="115">
        <v>200</v>
      </c>
      <c r="C9" s="41">
        <v>219</v>
      </c>
      <c r="D9" s="41">
        <f>0.104/2</f>
        <v>5.1999999999999998E-2</v>
      </c>
      <c r="E9" s="41">
        <f t="shared" si="1"/>
        <v>5.1999999999999998E-2</v>
      </c>
      <c r="F9" s="41"/>
      <c r="G9" s="41"/>
      <c r="H9" s="41"/>
      <c r="I9" s="108">
        <f t="shared" si="2"/>
        <v>22.776</v>
      </c>
      <c r="J9" s="42"/>
      <c r="K9" s="402"/>
      <c r="L9" s="403"/>
      <c r="M9" s="336"/>
      <c r="N9" s="336"/>
      <c r="O9" s="336"/>
      <c r="P9" s="336"/>
    </row>
    <row r="10" spans="2:18" s="16" customFormat="1" ht="15" customHeight="1" x14ac:dyDescent="0.25">
      <c r="B10" s="121" t="s">
        <v>217</v>
      </c>
      <c r="C10" s="123"/>
      <c r="D10" s="124">
        <f>SUM(D12:D14)</f>
        <v>0</v>
      </c>
      <c r="E10" s="124">
        <f t="shared" ref="E10:H10" si="3">SUM(E12:E14)</f>
        <v>0</v>
      </c>
      <c r="F10" s="124">
        <f t="shared" si="3"/>
        <v>0.23799999999999999</v>
      </c>
      <c r="G10" s="124">
        <f t="shared" si="3"/>
        <v>0.23799999999999999</v>
      </c>
      <c r="H10" s="124">
        <f t="shared" si="3"/>
        <v>0.23799999999999999</v>
      </c>
      <c r="I10" s="107"/>
      <c r="J10" s="72">
        <f>SUM(J12:J14)</f>
        <v>96.39</v>
      </c>
      <c r="K10" s="400">
        <f>S30/J10</f>
        <v>3.1086392355177774</v>
      </c>
      <c r="L10" s="401"/>
      <c r="M10" s="390">
        <f>(P30+P31+P32)*E42</f>
        <v>182.20051919999995</v>
      </c>
      <c r="N10" s="390"/>
      <c r="O10" s="390"/>
      <c r="P10" s="390"/>
    </row>
    <row r="11" spans="2:18" x14ac:dyDescent="0.25">
      <c r="B11" s="37" t="s">
        <v>194</v>
      </c>
      <c r="C11" s="41"/>
      <c r="D11" s="41"/>
      <c r="E11" s="41"/>
      <c r="F11" s="41"/>
      <c r="G11" s="41"/>
      <c r="H11" s="41"/>
      <c r="I11" s="42"/>
      <c r="J11" s="42"/>
      <c r="K11" s="334"/>
      <c r="L11" s="335"/>
      <c r="M11" s="336"/>
      <c r="N11" s="336"/>
      <c r="O11" s="336"/>
      <c r="P11" s="336"/>
    </row>
    <row r="12" spans="2:18" x14ac:dyDescent="0.25">
      <c r="B12" s="135">
        <v>250</v>
      </c>
      <c r="C12" s="41">
        <v>273</v>
      </c>
      <c r="D12" s="41"/>
      <c r="E12" s="41"/>
      <c r="F12" s="41">
        <f>0.119/2</f>
        <v>5.9499999999999997E-2</v>
      </c>
      <c r="G12" s="41">
        <f>F12</f>
        <v>5.9499999999999997E-2</v>
      </c>
      <c r="H12" s="41">
        <f t="shared" ref="H12" si="4">G12</f>
        <v>5.9499999999999997E-2</v>
      </c>
      <c r="I12" s="42"/>
      <c r="J12" s="42">
        <f>$C12*F12*2</f>
        <v>32.487000000000002</v>
      </c>
      <c r="K12" s="402"/>
      <c r="L12" s="403"/>
      <c r="M12" s="336"/>
      <c r="N12" s="336"/>
      <c r="O12" s="336"/>
      <c r="P12" s="336"/>
    </row>
    <row r="13" spans="2:18" x14ac:dyDescent="0.25">
      <c r="B13" s="135">
        <v>200</v>
      </c>
      <c r="C13" s="41">
        <v>219</v>
      </c>
      <c r="D13" s="41"/>
      <c r="E13" s="41"/>
      <c r="F13" s="41">
        <f>0.119/2</f>
        <v>5.9499999999999997E-2</v>
      </c>
      <c r="G13" s="41">
        <f t="shared" ref="G13:H14" si="5">F13</f>
        <v>5.9499999999999997E-2</v>
      </c>
      <c r="H13" s="41">
        <f t="shared" si="5"/>
        <v>5.9499999999999997E-2</v>
      </c>
      <c r="I13" s="42"/>
      <c r="J13" s="42">
        <f t="shared" ref="J13:J14" si="6">$C13*F13*2</f>
        <v>26.061</v>
      </c>
      <c r="K13" s="128"/>
      <c r="L13" s="129"/>
      <c r="M13" s="336"/>
      <c r="N13" s="336"/>
      <c r="O13" s="336"/>
      <c r="P13" s="336"/>
    </row>
    <row r="14" spans="2:18" x14ac:dyDescent="0.25">
      <c r="B14" s="115">
        <v>150</v>
      </c>
      <c r="C14" s="41">
        <v>159</v>
      </c>
      <c r="D14" s="41"/>
      <c r="E14" s="41"/>
      <c r="F14" s="41">
        <f>0.238/2</f>
        <v>0.11899999999999999</v>
      </c>
      <c r="G14" s="41">
        <f t="shared" si="5"/>
        <v>0.11899999999999999</v>
      </c>
      <c r="H14" s="41">
        <f t="shared" si="5"/>
        <v>0.11899999999999999</v>
      </c>
      <c r="I14" s="41"/>
      <c r="J14" s="42">
        <f t="shared" si="6"/>
        <v>37.841999999999999</v>
      </c>
      <c r="K14" s="402"/>
      <c r="L14" s="403"/>
      <c r="M14" s="336"/>
      <c r="N14" s="336"/>
      <c r="O14" s="336"/>
      <c r="P14" s="336"/>
    </row>
    <row r="15" spans="2:18" x14ac:dyDescent="0.25">
      <c r="H15" s="43"/>
      <c r="I15" s="43"/>
    </row>
    <row r="16" spans="2:18" ht="49.5" customHeight="1" x14ac:dyDescent="0.25">
      <c r="B16" s="349" t="s">
        <v>195</v>
      </c>
      <c r="C16" s="350"/>
      <c r="D16" s="350"/>
      <c r="E16" s="350"/>
      <c r="F16" s="350"/>
      <c r="G16" s="350"/>
      <c r="H16" s="350"/>
      <c r="I16" s="350"/>
      <c r="J16" s="350"/>
      <c r="K16" s="350"/>
      <c r="L16" s="350"/>
      <c r="M16" s="350"/>
      <c r="N16" s="350"/>
      <c r="O16" s="350"/>
      <c r="P16" s="350"/>
      <c r="Q16" s="350"/>
      <c r="R16" s="350"/>
    </row>
    <row r="17" spans="1:20" ht="16.5" thickBot="1" x14ac:dyDescent="0.3">
      <c r="A17" s="44"/>
      <c r="B17" s="352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</row>
    <row r="18" spans="1:20" ht="36" customHeight="1" x14ac:dyDescent="0.25">
      <c r="A18" s="353" t="s">
        <v>196</v>
      </c>
      <c r="B18" s="356" t="s">
        <v>197</v>
      </c>
      <c r="C18" s="359" t="s">
        <v>198</v>
      </c>
      <c r="D18" s="362" t="s">
        <v>199</v>
      </c>
      <c r="E18" s="362" t="s">
        <v>200</v>
      </c>
      <c r="F18" s="362"/>
      <c r="G18" s="362"/>
      <c r="H18" s="362" t="s">
        <v>201</v>
      </c>
      <c r="I18" s="385"/>
      <c r="J18" s="376" t="s">
        <v>202</v>
      </c>
      <c r="K18" s="382" t="s">
        <v>203</v>
      </c>
      <c r="L18" s="376" t="s">
        <v>204</v>
      </c>
      <c r="M18" s="376" t="s">
        <v>205</v>
      </c>
      <c r="N18" s="376" t="s">
        <v>206</v>
      </c>
      <c r="O18" s="376" t="s">
        <v>207</v>
      </c>
      <c r="P18" s="376" t="s">
        <v>208</v>
      </c>
      <c r="Q18" s="382" t="s">
        <v>209</v>
      </c>
      <c r="R18" s="362" t="s">
        <v>210</v>
      </c>
      <c r="S18" s="365" t="s">
        <v>211</v>
      </c>
    </row>
    <row r="19" spans="1:20" ht="34.5" customHeight="1" x14ac:dyDescent="0.25">
      <c r="A19" s="354"/>
      <c r="B19" s="357"/>
      <c r="C19" s="360"/>
      <c r="D19" s="363"/>
      <c r="E19" s="368" t="s">
        <v>212</v>
      </c>
      <c r="F19" s="370" t="s">
        <v>213</v>
      </c>
      <c r="G19" s="372" t="s">
        <v>211</v>
      </c>
      <c r="H19" s="374" t="s">
        <v>214</v>
      </c>
      <c r="I19" s="368" t="s">
        <v>215</v>
      </c>
      <c r="J19" s="377"/>
      <c r="K19" s="386"/>
      <c r="L19" s="377"/>
      <c r="M19" s="378"/>
      <c r="N19" s="378"/>
      <c r="O19" s="380"/>
      <c r="P19" s="380"/>
      <c r="Q19" s="383"/>
      <c r="R19" s="368"/>
      <c r="S19" s="366"/>
    </row>
    <row r="20" spans="1:20" ht="49.5" customHeight="1" thickBot="1" x14ac:dyDescent="0.3">
      <c r="A20" s="355"/>
      <c r="B20" s="358"/>
      <c r="C20" s="361"/>
      <c r="D20" s="364"/>
      <c r="E20" s="369"/>
      <c r="F20" s="371"/>
      <c r="G20" s="373"/>
      <c r="H20" s="375"/>
      <c r="I20" s="369"/>
      <c r="J20" s="373"/>
      <c r="K20" s="375"/>
      <c r="L20" s="373"/>
      <c r="M20" s="379" t="s">
        <v>216</v>
      </c>
      <c r="N20" s="379"/>
      <c r="O20" s="381"/>
      <c r="P20" s="381"/>
      <c r="Q20" s="384"/>
      <c r="R20" s="410"/>
      <c r="S20" s="367"/>
    </row>
    <row r="21" spans="1:20" ht="15.75" x14ac:dyDescent="0.25">
      <c r="A21" s="406"/>
      <c r="B21" s="407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9"/>
      <c r="S21" s="87"/>
    </row>
    <row r="22" spans="1:20" hidden="1" x14ac:dyDescent="0.25">
      <c r="A22" s="55">
        <v>25</v>
      </c>
      <c r="B22" s="45">
        <v>32</v>
      </c>
      <c r="C22" s="342">
        <f>'[2]Исходные данные'!$J$25</f>
        <v>57</v>
      </c>
      <c r="D22" s="342">
        <f>'[2]Исходные данные'!$J$26</f>
        <v>46</v>
      </c>
      <c r="E22" s="45">
        <v>0</v>
      </c>
      <c r="F22" s="45">
        <v>0</v>
      </c>
      <c r="G22" s="125">
        <f>E22+F22</f>
        <v>0</v>
      </c>
      <c r="H22" s="56">
        <v>17.655999999999999</v>
      </c>
      <c r="I22" s="57">
        <v>41.64</v>
      </c>
      <c r="J22" s="57">
        <v>1.2</v>
      </c>
      <c r="K22" s="57">
        <f>E22*H22*J22</f>
        <v>0</v>
      </c>
      <c r="L22" s="126">
        <f>I22*F22*1.2</f>
        <v>0</v>
      </c>
      <c r="M22" s="57">
        <f t="shared" ref="M22:M37" si="7">(K22+L22)*$E$42/1000000</f>
        <v>0</v>
      </c>
      <c r="N22" s="58">
        <v>5.6999999999999998E-4</v>
      </c>
      <c r="O22" s="126">
        <f>N22*G22</f>
        <v>0</v>
      </c>
      <c r="P22" s="57">
        <f>O22*0.0025</f>
        <v>0</v>
      </c>
      <c r="Q22" s="57">
        <f t="shared" ref="Q22:Q37" si="8">1*P22*981*((0.75*C$22+(1-0.75)*D$22)-5)/1000000*$E$42</f>
        <v>0</v>
      </c>
      <c r="R22" s="127">
        <f>M22+Q22</f>
        <v>0</v>
      </c>
      <c r="S22" s="88"/>
    </row>
    <row r="23" spans="1:20" hidden="1" x14ac:dyDescent="0.25">
      <c r="A23" s="55">
        <v>32</v>
      </c>
      <c r="B23" s="45">
        <v>42</v>
      </c>
      <c r="C23" s="342"/>
      <c r="D23" s="342"/>
      <c r="E23" s="48">
        <v>0</v>
      </c>
      <c r="F23" s="48">
        <v>0</v>
      </c>
      <c r="G23" s="48">
        <f>E23+F23</f>
        <v>0</v>
      </c>
      <c r="H23" s="56">
        <v>19.210933333333333</v>
      </c>
      <c r="I23" s="57">
        <v>44.4512</v>
      </c>
      <c r="J23" s="53">
        <v>1.2</v>
      </c>
      <c r="K23" s="53">
        <f>E23*H23*J23</f>
        <v>0</v>
      </c>
      <c r="L23" s="53">
        <f t="shared" ref="L23:L37" si="9">I23*F23*1.2</f>
        <v>0</v>
      </c>
      <c r="M23" s="53">
        <f t="shared" si="7"/>
        <v>0</v>
      </c>
      <c r="N23" s="58">
        <v>9.1066666666666661E-4</v>
      </c>
      <c r="O23" s="53">
        <f>N23*G23</f>
        <v>0</v>
      </c>
      <c r="P23" s="53">
        <f t="shared" ref="P23:P33" si="10">O23*0.0025</f>
        <v>0</v>
      </c>
      <c r="Q23" s="53">
        <f t="shared" si="8"/>
        <v>0</v>
      </c>
      <c r="R23" s="92">
        <f t="shared" ref="R23:R37" si="11">M23+Q23</f>
        <v>0</v>
      </c>
      <c r="S23" s="88"/>
    </row>
    <row r="24" spans="1:20" hidden="1" x14ac:dyDescent="0.25">
      <c r="A24" s="59">
        <v>40</v>
      </c>
      <c r="B24" s="48">
        <v>45</v>
      </c>
      <c r="C24" s="343"/>
      <c r="D24" s="343"/>
      <c r="E24" s="48">
        <v>0</v>
      </c>
      <c r="F24" s="48">
        <v>0</v>
      </c>
      <c r="G24" s="48">
        <f t="shared" ref="G24:G37" si="12">E24+F24</f>
        <v>0</v>
      </c>
      <c r="H24" s="60">
        <v>20.988</v>
      </c>
      <c r="I24" s="53">
        <v>47.664000000000001</v>
      </c>
      <c r="J24" s="53">
        <v>1.2</v>
      </c>
      <c r="K24" s="53">
        <f t="shared" ref="K24:K37" si="13">E24*H24*J24</f>
        <v>0</v>
      </c>
      <c r="L24" s="53">
        <f t="shared" si="9"/>
        <v>0</v>
      </c>
      <c r="M24" s="53">
        <f t="shared" si="7"/>
        <v>0</v>
      </c>
      <c r="N24" s="61">
        <v>1.2999999999999999E-3</v>
      </c>
      <c r="O24" s="53">
        <f t="shared" ref="O24:O37" si="14">N24*G24</f>
        <v>0</v>
      </c>
      <c r="P24" s="53">
        <f t="shared" si="10"/>
        <v>0</v>
      </c>
      <c r="Q24" s="53">
        <f t="shared" si="8"/>
        <v>0</v>
      </c>
      <c r="R24" s="92">
        <f t="shared" si="11"/>
        <v>0</v>
      </c>
      <c r="S24" s="88"/>
    </row>
    <row r="25" spans="1:20" hidden="1" x14ac:dyDescent="0.25">
      <c r="A25" s="59">
        <v>50</v>
      </c>
      <c r="B25" s="48">
        <v>57</v>
      </c>
      <c r="C25" s="343"/>
      <c r="D25" s="343"/>
      <c r="E25" s="48">
        <v>0</v>
      </c>
      <c r="F25" s="48">
        <v>0</v>
      </c>
      <c r="G25" s="48">
        <f t="shared" si="12"/>
        <v>0</v>
      </c>
      <c r="H25" s="60">
        <v>23.988</v>
      </c>
      <c r="I25" s="53">
        <v>51.68</v>
      </c>
      <c r="J25" s="53">
        <v>1.2</v>
      </c>
      <c r="K25" s="53">
        <f t="shared" si="13"/>
        <v>0</v>
      </c>
      <c r="L25" s="53">
        <f t="shared" si="9"/>
        <v>0</v>
      </c>
      <c r="M25" s="53">
        <f t="shared" si="7"/>
        <v>0</v>
      </c>
      <c r="N25" s="61">
        <v>2E-3</v>
      </c>
      <c r="O25" s="53">
        <f t="shared" si="14"/>
        <v>0</v>
      </c>
      <c r="P25" s="53">
        <f>O25*0.0025</f>
        <v>0</v>
      </c>
      <c r="Q25" s="53">
        <f t="shared" si="8"/>
        <v>0</v>
      </c>
      <c r="R25" s="92">
        <f t="shared" si="11"/>
        <v>0</v>
      </c>
      <c r="S25" s="88"/>
    </row>
    <row r="26" spans="1:20" x14ac:dyDescent="0.25">
      <c r="A26" s="59">
        <v>70</v>
      </c>
      <c r="B26" s="48">
        <v>76</v>
      </c>
      <c r="C26" s="343"/>
      <c r="D26" s="343"/>
      <c r="E26" s="48">
        <v>0</v>
      </c>
      <c r="F26" s="48">
        <v>0</v>
      </c>
      <c r="G26" s="48">
        <f t="shared" si="12"/>
        <v>0</v>
      </c>
      <c r="H26" s="60">
        <v>28.32</v>
      </c>
      <c r="I26" s="53">
        <v>59.2</v>
      </c>
      <c r="J26" s="53">
        <v>1.2</v>
      </c>
      <c r="K26" s="53">
        <f t="shared" si="13"/>
        <v>0</v>
      </c>
      <c r="L26" s="53">
        <f>I26*F26*1.2</f>
        <v>0</v>
      </c>
      <c r="M26" s="53">
        <f t="shared" si="7"/>
        <v>0</v>
      </c>
      <c r="N26" s="61">
        <v>3.8999999999999998E-3</v>
      </c>
      <c r="O26" s="53">
        <f t="shared" si="14"/>
        <v>0</v>
      </c>
      <c r="P26" s="53">
        <f t="shared" si="10"/>
        <v>0</v>
      </c>
      <c r="Q26" s="53">
        <f t="shared" si="8"/>
        <v>0</v>
      </c>
      <c r="R26" s="92">
        <f t="shared" si="11"/>
        <v>0</v>
      </c>
      <c r="S26" s="88"/>
    </row>
    <row r="27" spans="1:20" s="66" customFormat="1" x14ac:dyDescent="0.25">
      <c r="A27" s="59">
        <v>80</v>
      </c>
      <c r="B27" s="48">
        <v>89</v>
      </c>
      <c r="C27" s="343"/>
      <c r="D27" s="343"/>
      <c r="E27" s="48">
        <v>0</v>
      </c>
      <c r="F27" s="48">
        <v>0</v>
      </c>
      <c r="G27" s="48">
        <f t="shared" si="12"/>
        <v>0</v>
      </c>
      <c r="H27" s="60">
        <v>31.32</v>
      </c>
      <c r="I27" s="53">
        <v>63.72</v>
      </c>
      <c r="J27" s="53">
        <v>1.2</v>
      </c>
      <c r="K27" s="53">
        <f t="shared" si="13"/>
        <v>0</v>
      </c>
      <c r="L27" s="53">
        <f t="shared" si="9"/>
        <v>0</v>
      </c>
      <c r="M27" s="53">
        <f t="shared" si="7"/>
        <v>0</v>
      </c>
      <c r="N27" s="61">
        <v>5.3E-3</v>
      </c>
      <c r="O27" s="53">
        <f t="shared" si="14"/>
        <v>0</v>
      </c>
      <c r="P27" s="53">
        <f t="shared" si="10"/>
        <v>0</v>
      </c>
      <c r="Q27" s="53">
        <f t="shared" si="8"/>
        <v>0</v>
      </c>
      <c r="R27" s="92">
        <f t="shared" si="11"/>
        <v>0</v>
      </c>
      <c r="S27" s="88"/>
    </row>
    <row r="28" spans="1:20" s="24" customFormat="1" x14ac:dyDescent="0.25">
      <c r="A28" s="73">
        <v>125</v>
      </c>
      <c r="B28" s="74">
        <v>133</v>
      </c>
      <c r="C28" s="343"/>
      <c r="D28" s="343"/>
      <c r="E28" s="74">
        <v>0</v>
      </c>
      <c r="F28" s="48">
        <v>0</v>
      </c>
      <c r="G28" s="74">
        <f>E28+F28</f>
        <v>0</v>
      </c>
      <c r="H28" s="75">
        <v>39.316000000000003</v>
      </c>
      <c r="I28" s="74">
        <v>80.751999999999995</v>
      </c>
      <c r="J28" s="74">
        <v>1.2</v>
      </c>
      <c r="K28" s="74">
        <f t="shared" si="13"/>
        <v>0</v>
      </c>
      <c r="L28" s="74">
        <f t="shared" si="9"/>
        <v>0</v>
      </c>
      <c r="M28" s="74">
        <f t="shared" si="7"/>
        <v>0</v>
      </c>
      <c r="N28" s="61">
        <v>1.23E-2</v>
      </c>
      <c r="O28" s="74">
        <f>N28*G28</f>
        <v>0</v>
      </c>
      <c r="P28" s="74">
        <f t="shared" si="10"/>
        <v>0</v>
      </c>
      <c r="Q28" s="74">
        <f t="shared" si="8"/>
        <v>0</v>
      </c>
      <c r="R28" s="92">
        <f>M28+Q28</f>
        <v>0</v>
      </c>
      <c r="S28" s="114">
        <f>R28*1.5</f>
        <v>0</v>
      </c>
    </row>
    <row r="29" spans="1:20" s="24" customFormat="1" x14ac:dyDescent="0.25">
      <c r="A29" s="73">
        <v>100</v>
      </c>
      <c r="B29" s="74">
        <v>108</v>
      </c>
      <c r="C29" s="343"/>
      <c r="D29" s="343"/>
      <c r="E29" s="74">
        <v>0</v>
      </c>
      <c r="F29" s="74">
        <v>0</v>
      </c>
      <c r="G29" s="74">
        <f>E29+F29</f>
        <v>0</v>
      </c>
      <c r="H29" s="75">
        <v>34.984000000000002</v>
      </c>
      <c r="I29" s="74">
        <v>70.239999999999995</v>
      </c>
      <c r="J29" s="74">
        <v>1.2</v>
      </c>
      <c r="K29" s="74">
        <f>E29*H29*J29</f>
        <v>0</v>
      </c>
      <c r="L29" s="74">
        <f>I29*F29*1.2</f>
        <v>0</v>
      </c>
      <c r="M29" s="74">
        <f t="shared" si="7"/>
        <v>0</v>
      </c>
      <c r="N29" s="61">
        <v>7.9000000000000008E-3</v>
      </c>
      <c r="O29" s="74">
        <f t="shared" ref="O29" si="15">N29*G29</f>
        <v>0</v>
      </c>
      <c r="P29" s="74">
        <f t="shared" si="10"/>
        <v>0</v>
      </c>
      <c r="Q29" s="74">
        <f t="shared" si="8"/>
        <v>0</v>
      </c>
      <c r="R29" s="92">
        <f t="shared" si="11"/>
        <v>0</v>
      </c>
      <c r="S29" s="114">
        <f>R29</f>
        <v>0</v>
      </c>
    </row>
    <row r="30" spans="1:20" s="66" customFormat="1" x14ac:dyDescent="0.25">
      <c r="A30" s="62">
        <v>150</v>
      </c>
      <c r="B30" s="63">
        <v>159</v>
      </c>
      <c r="C30" s="343"/>
      <c r="D30" s="343"/>
      <c r="E30" s="63">
        <v>0</v>
      </c>
      <c r="F30" s="63">
        <f>F14*2*1000</f>
        <v>238</v>
      </c>
      <c r="G30" s="63">
        <f>E30+F30</f>
        <v>238</v>
      </c>
      <c r="H30" s="64">
        <v>41.984000000000002</v>
      </c>
      <c r="I30" s="63">
        <v>87.76</v>
      </c>
      <c r="J30" s="63">
        <v>1.2</v>
      </c>
      <c r="K30" s="63">
        <f t="shared" ref="K30:K32" si="16">E30*H30*J30</f>
        <v>0</v>
      </c>
      <c r="L30" s="63">
        <f t="shared" ref="L30:L32" si="17">I30*F30*1.2</f>
        <v>25064.256000000001</v>
      </c>
      <c r="M30" s="63">
        <f t="shared" si="7"/>
        <v>126.44415866879999</v>
      </c>
      <c r="N30" s="65">
        <v>1.77E-2</v>
      </c>
      <c r="O30" s="63">
        <f>N30*G30</f>
        <v>4.2126000000000001</v>
      </c>
      <c r="P30" s="63">
        <f t="shared" si="10"/>
        <v>1.0531500000000001E-2</v>
      </c>
      <c r="Q30" s="63">
        <f t="shared" si="8"/>
        <v>2.5669028236445999</v>
      </c>
      <c r="R30" s="93">
        <f t="shared" si="11"/>
        <v>129.01106149244458</v>
      </c>
      <c r="S30" s="89">
        <f>R30+R31+R32</f>
        <v>299.64173591155856</v>
      </c>
      <c r="T30" s="24" t="s">
        <v>217</v>
      </c>
    </row>
    <row r="31" spans="1:20" s="66" customFormat="1" x14ac:dyDescent="0.25">
      <c r="A31" s="62">
        <v>200</v>
      </c>
      <c r="B31" s="63">
        <v>219</v>
      </c>
      <c r="C31" s="343"/>
      <c r="D31" s="343"/>
      <c r="E31" s="63">
        <v>0</v>
      </c>
      <c r="F31" s="63">
        <f>F13*2*1000</f>
        <v>119</v>
      </c>
      <c r="G31" s="63">
        <f t="shared" ref="G31:G32" si="18">E31+F31</f>
        <v>119</v>
      </c>
      <c r="H31" s="64">
        <v>50.648000000000003</v>
      </c>
      <c r="I31" s="63">
        <v>104.84</v>
      </c>
      <c r="J31" s="63">
        <v>1.1499999999999999</v>
      </c>
      <c r="K31" s="63">
        <f t="shared" si="16"/>
        <v>0</v>
      </c>
      <c r="L31" s="63">
        <f t="shared" si="17"/>
        <v>14971.152</v>
      </c>
      <c r="M31" s="63">
        <f t="shared" ref="M31:M32" si="19">(K31+L31)*$E$42/1000000</f>
        <v>75.52646760959999</v>
      </c>
      <c r="N31" s="65">
        <v>3.3000000000000002E-2</v>
      </c>
      <c r="O31" s="63">
        <f t="shared" ref="O31:O32" si="20">N31*G31</f>
        <v>3.927</v>
      </c>
      <c r="P31" s="63">
        <f t="shared" ref="P31" si="21">O31*0.0025</f>
        <v>9.8174999999999998E-3</v>
      </c>
      <c r="Q31" s="63">
        <f t="shared" ref="Q31:Q32" si="22">1*P31*981*((0.75*C$22+(1-0.75)*D$22)-5)/1000000*$E$42</f>
        <v>2.3928755135670001</v>
      </c>
      <c r="R31" s="93">
        <f>M31+Q31</f>
        <v>77.919343123166996</v>
      </c>
      <c r="S31" s="89"/>
    </row>
    <row r="32" spans="1:20" s="66" customFormat="1" x14ac:dyDescent="0.25">
      <c r="A32" s="62">
        <v>250</v>
      </c>
      <c r="B32" s="63">
        <v>273</v>
      </c>
      <c r="C32" s="343"/>
      <c r="D32" s="343"/>
      <c r="E32" s="63">
        <v>0</v>
      </c>
      <c r="F32" s="63">
        <f>F12*2*1000</f>
        <v>119</v>
      </c>
      <c r="G32" s="63">
        <f t="shared" si="18"/>
        <v>119</v>
      </c>
      <c r="H32" s="64">
        <v>58.643999999999998</v>
      </c>
      <c r="I32" s="63">
        <v>123.36</v>
      </c>
      <c r="J32" s="63">
        <v>1.1499999999999999</v>
      </c>
      <c r="K32" s="63">
        <f t="shared" si="16"/>
        <v>0</v>
      </c>
      <c r="L32" s="63">
        <f t="shared" si="17"/>
        <v>17615.808000000001</v>
      </c>
      <c r="M32" s="63">
        <f t="shared" si="19"/>
        <v>88.86822819839999</v>
      </c>
      <c r="N32" s="65">
        <v>5.2999999999999999E-2</v>
      </c>
      <c r="O32" s="63">
        <f t="shared" si="20"/>
        <v>6.3069999999999995</v>
      </c>
      <c r="P32" s="63">
        <f>O32*0.0025</f>
        <v>1.57675E-2</v>
      </c>
      <c r="Q32" s="63">
        <f t="shared" si="22"/>
        <v>3.843103097547</v>
      </c>
      <c r="R32" s="93">
        <f t="shared" ref="R32" si="23">M32+Q32</f>
        <v>92.711331295946991</v>
      </c>
      <c r="S32" s="89"/>
    </row>
    <row r="33" spans="1:20" s="80" customFormat="1" hidden="1" outlineLevel="1" x14ac:dyDescent="0.25">
      <c r="A33" s="76">
        <v>200</v>
      </c>
      <c r="B33" s="77">
        <v>219</v>
      </c>
      <c r="C33" s="343"/>
      <c r="D33" s="343"/>
      <c r="E33" s="77">
        <v>0</v>
      </c>
      <c r="F33" s="77">
        <f>D9*2*1000</f>
        <v>104</v>
      </c>
      <c r="G33" s="77">
        <f t="shared" si="12"/>
        <v>104</v>
      </c>
      <c r="H33" s="78">
        <v>50.648000000000003</v>
      </c>
      <c r="I33" s="77">
        <v>104.84</v>
      </c>
      <c r="J33" s="77">
        <v>1.1499999999999999</v>
      </c>
      <c r="K33" s="77">
        <f t="shared" si="13"/>
        <v>0</v>
      </c>
      <c r="L33" s="77">
        <f t="shared" si="9"/>
        <v>13084.032000000001</v>
      </c>
      <c r="M33" s="77">
        <f t="shared" si="7"/>
        <v>66.006324633600002</v>
      </c>
      <c r="N33" s="79">
        <v>3.3000000000000002E-2</v>
      </c>
      <c r="O33" s="77">
        <f t="shared" si="14"/>
        <v>3.4320000000000004</v>
      </c>
      <c r="P33" s="77">
        <f t="shared" si="10"/>
        <v>8.5800000000000008E-3</v>
      </c>
      <c r="Q33" s="77">
        <f t="shared" si="8"/>
        <v>2.0912525496719998</v>
      </c>
      <c r="R33" s="94">
        <f>M33+Q33</f>
        <v>68.097577183272008</v>
      </c>
      <c r="S33" s="90">
        <f>R33+R34+R35</f>
        <v>373.11529309041595</v>
      </c>
    </row>
    <row r="34" spans="1:20" s="80" customFormat="1" hidden="1" outlineLevel="1" x14ac:dyDescent="0.25">
      <c r="A34" s="76">
        <v>250</v>
      </c>
      <c r="B34" s="77">
        <v>273</v>
      </c>
      <c r="C34" s="343"/>
      <c r="D34" s="343"/>
      <c r="E34" s="77">
        <v>0</v>
      </c>
      <c r="F34" s="77">
        <f>D8*2*1000</f>
        <v>238</v>
      </c>
      <c r="G34" s="77">
        <f t="shared" si="12"/>
        <v>238</v>
      </c>
      <c r="H34" s="78">
        <v>58.643999999999998</v>
      </c>
      <c r="I34" s="77">
        <v>123.36</v>
      </c>
      <c r="J34" s="77">
        <v>1.1499999999999999</v>
      </c>
      <c r="K34" s="77">
        <f t="shared" si="13"/>
        <v>0</v>
      </c>
      <c r="L34" s="77">
        <f t="shared" si="9"/>
        <v>35231.616000000002</v>
      </c>
      <c r="M34" s="77">
        <f t="shared" si="7"/>
        <v>177.73645639679998</v>
      </c>
      <c r="N34" s="79">
        <v>5.2999999999999999E-2</v>
      </c>
      <c r="O34" s="77">
        <f t="shared" si="14"/>
        <v>12.613999999999999</v>
      </c>
      <c r="P34" s="77">
        <f>O34*0.0025</f>
        <v>3.1535000000000001E-2</v>
      </c>
      <c r="Q34" s="77">
        <f t="shared" si="8"/>
        <v>7.6862061950939999</v>
      </c>
      <c r="R34" s="94">
        <f t="shared" si="11"/>
        <v>185.42266259189398</v>
      </c>
      <c r="S34" s="90"/>
    </row>
    <row r="35" spans="1:20" s="80" customFormat="1" hidden="1" outlineLevel="1" x14ac:dyDescent="0.25">
      <c r="A35" s="76">
        <v>300</v>
      </c>
      <c r="B35" s="77">
        <v>325</v>
      </c>
      <c r="C35" s="343"/>
      <c r="D35" s="343"/>
      <c r="E35" s="77">
        <v>0</v>
      </c>
      <c r="F35" s="77">
        <f>D7*2*1000</f>
        <v>134</v>
      </c>
      <c r="G35" s="77">
        <f t="shared" si="12"/>
        <v>134</v>
      </c>
      <c r="H35" s="81">
        <v>66.64</v>
      </c>
      <c r="I35" s="82">
        <v>139.88</v>
      </c>
      <c r="J35" s="77">
        <v>1.1499999999999999</v>
      </c>
      <c r="K35" s="77">
        <f>E35*H35*J35</f>
        <v>0</v>
      </c>
      <c r="L35" s="77">
        <f t="shared" si="9"/>
        <v>22492.703999999998</v>
      </c>
      <c r="M35" s="77">
        <f t="shared" si="7"/>
        <v>113.47119313919997</v>
      </c>
      <c r="N35" s="83">
        <v>7.4999999999999997E-2</v>
      </c>
      <c r="O35" s="77">
        <f t="shared" si="14"/>
        <v>10.049999999999999</v>
      </c>
      <c r="P35" s="77">
        <f>O35*0.0025</f>
        <v>2.5124999999999998E-2</v>
      </c>
      <c r="Q35" s="77">
        <f t="shared" si="8"/>
        <v>6.1238601760499991</v>
      </c>
      <c r="R35" s="94">
        <f>(M35+Q35)</f>
        <v>119.59505331524997</v>
      </c>
      <c r="S35" s="90"/>
      <c r="T35" s="80" t="s">
        <v>218</v>
      </c>
    </row>
    <row r="36" spans="1:20" s="24" customFormat="1" collapsed="1" x14ac:dyDescent="0.25">
      <c r="A36" s="73">
        <v>350</v>
      </c>
      <c r="B36" s="74">
        <v>375</v>
      </c>
      <c r="C36" s="343"/>
      <c r="D36" s="343"/>
      <c r="E36" s="74">
        <v>0</v>
      </c>
      <c r="F36" s="74">
        <v>0</v>
      </c>
      <c r="G36" s="74">
        <f t="shared" si="12"/>
        <v>0</v>
      </c>
      <c r="H36" s="75">
        <v>78.304000000000002</v>
      </c>
      <c r="I36" s="74">
        <v>154.88</v>
      </c>
      <c r="J36" s="74">
        <v>1.1499999999999999</v>
      </c>
      <c r="K36" s="74">
        <f t="shared" si="13"/>
        <v>0</v>
      </c>
      <c r="L36" s="74">
        <f t="shared" si="9"/>
        <v>0</v>
      </c>
      <c r="M36" s="74">
        <f t="shared" si="7"/>
        <v>0</v>
      </c>
      <c r="N36" s="74">
        <v>9.6199999999999994E-2</v>
      </c>
      <c r="O36" s="74">
        <f t="shared" si="14"/>
        <v>0</v>
      </c>
      <c r="P36" s="74">
        <f>O36*0.0025</f>
        <v>0</v>
      </c>
      <c r="Q36" s="74">
        <f t="shared" si="8"/>
        <v>0</v>
      </c>
      <c r="R36" s="92">
        <f t="shared" si="11"/>
        <v>0</v>
      </c>
      <c r="S36" s="114"/>
    </row>
    <row r="37" spans="1:20" s="24" customFormat="1" ht="15.75" thickBot="1" x14ac:dyDescent="0.3">
      <c r="A37" s="130">
        <v>400</v>
      </c>
      <c r="B37" s="131">
        <v>426</v>
      </c>
      <c r="C37" s="344"/>
      <c r="D37" s="344"/>
      <c r="E37" s="131">
        <v>0</v>
      </c>
      <c r="F37" s="131">
        <v>0</v>
      </c>
      <c r="G37" s="131">
        <f t="shared" si="12"/>
        <v>0</v>
      </c>
      <c r="H37" s="132">
        <v>89.635999999999996</v>
      </c>
      <c r="I37" s="131">
        <v>168.96</v>
      </c>
      <c r="J37" s="131">
        <v>1.1499999999999999</v>
      </c>
      <c r="K37" s="131">
        <f t="shared" si="13"/>
        <v>0</v>
      </c>
      <c r="L37" s="133">
        <f t="shared" si="9"/>
        <v>0</v>
      </c>
      <c r="M37" s="133">
        <f t="shared" si="7"/>
        <v>0</v>
      </c>
      <c r="N37" s="131">
        <v>0.126</v>
      </c>
      <c r="O37" s="131">
        <f t="shared" si="14"/>
        <v>0</v>
      </c>
      <c r="P37" s="131">
        <f>O37*0.0025</f>
        <v>0</v>
      </c>
      <c r="Q37" s="131">
        <f t="shared" si="8"/>
        <v>0</v>
      </c>
      <c r="R37" s="99">
        <f t="shared" si="11"/>
        <v>0</v>
      </c>
      <c r="S37" s="134"/>
    </row>
    <row r="38" spans="1:20" ht="15.75" thickBot="1" x14ac:dyDescent="0.3">
      <c r="A38" s="100"/>
      <c r="B38" s="101" t="s">
        <v>219</v>
      </c>
      <c r="C38" s="345"/>
      <c r="D38" s="345"/>
      <c r="E38" s="102"/>
      <c r="F38" s="102"/>
      <c r="G38" s="102"/>
      <c r="H38" s="103"/>
      <c r="I38" s="103"/>
      <c r="J38" s="103"/>
      <c r="K38" s="103"/>
      <c r="L38" s="103"/>
      <c r="M38" s="103"/>
      <c r="N38" s="104"/>
      <c r="O38" s="105"/>
      <c r="P38" s="105"/>
      <c r="Q38" s="106"/>
      <c r="R38" s="106"/>
      <c r="S38" s="118"/>
    </row>
    <row r="40" spans="1:20" x14ac:dyDescent="0.25">
      <c r="B40" s="331" t="s">
        <v>220</v>
      </c>
      <c r="C40" s="332"/>
      <c r="D40" s="333"/>
      <c r="E40" s="69">
        <v>5</v>
      </c>
    </row>
    <row r="41" spans="1:20" x14ac:dyDescent="0.25">
      <c r="B41" s="331" t="s">
        <v>221</v>
      </c>
      <c r="C41" s="332"/>
      <c r="D41" s="333"/>
      <c r="E41" s="70">
        <v>-1.7678301886792458</v>
      </c>
    </row>
    <row r="42" spans="1:20" x14ac:dyDescent="0.25">
      <c r="B42" s="331" t="s">
        <v>222</v>
      </c>
      <c r="C42" s="332"/>
      <c r="D42" s="333"/>
      <c r="E42" s="71">
        <v>5044.7999999999993</v>
      </c>
    </row>
  </sheetData>
  <mergeCells count="52">
    <mergeCell ref="B42:D42"/>
    <mergeCell ref="M8:P8"/>
    <mergeCell ref="M13:P13"/>
    <mergeCell ref="A21:R21"/>
    <mergeCell ref="C22:C37"/>
    <mergeCell ref="D22:D37"/>
    <mergeCell ref="C38:D38"/>
    <mergeCell ref="B40:D40"/>
    <mergeCell ref="B41:D41"/>
    <mergeCell ref="P18:P20"/>
    <mergeCell ref="Q18:Q20"/>
    <mergeCell ref="R18:R20"/>
    <mergeCell ref="K14:L14"/>
    <mergeCell ref="M14:P14"/>
    <mergeCell ref="B16:R16"/>
    <mergeCell ref="B17:R17"/>
    <mergeCell ref="S18:S20"/>
    <mergeCell ref="E19:E20"/>
    <mergeCell ref="F19:F20"/>
    <mergeCell ref="G19:G20"/>
    <mergeCell ref="H19:H20"/>
    <mergeCell ref="I19:I20"/>
    <mergeCell ref="J18:J20"/>
    <mergeCell ref="K18:K20"/>
    <mergeCell ref="L18:L20"/>
    <mergeCell ref="M18:M20"/>
    <mergeCell ref="N18:N20"/>
    <mergeCell ref="O18:O20"/>
    <mergeCell ref="H18:I18"/>
    <mergeCell ref="A18:A20"/>
    <mergeCell ref="B18:B20"/>
    <mergeCell ref="C18:C20"/>
    <mergeCell ref="D18:D20"/>
    <mergeCell ref="E18:G18"/>
    <mergeCell ref="K10:L10"/>
    <mergeCell ref="M10:P10"/>
    <mergeCell ref="K11:L11"/>
    <mergeCell ref="M11:P11"/>
    <mergeCell ref="K12:L12"/>
    <mergeCell ref="M12:P12"/>
    <mergeCell ref="K6:L6"/>
    <mergeCell ref="M6:P6"/>
    <mergeCell ref="K7:L7"/>
    <mergeCell ref="M7:P7"/>
    <mergeCell ref="K9:L9"/>
    <mergeCell ref="M9:P9"/>
    <mergeCell ref="B1:O1"/>
    <mergeCell ref="B2:Q2"/>
    <mergeCell ref="K4:L4"/>
    <mergeCell ref="M4:P4"/>
    <mergeCell ref="K5:L5"/>
    <mergeCell ref="M5:P5"/>
  </mergeCells>
  <pageMargins left="0.24" right="0.19" top="0.33" bottom="0.31" header="0.31496062992125984" footer="0.31496062992125984"/>
  <pageSetup paperSize="9" scale="65" orientation="landscape" r:id="rId1"/>
  <colBreaks count="1" manualBreakCount="1">
    <brk id="19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1:T38"/>
  <sheetViews>
    <sheetView view="pageBreakPreview" zoomScale="60" zoomScaleNormal="73" workbookViewId="0">
      <selection activeCell="I17" sqref="I17:I18"/>
    </sheetView>
  </sheetViews>
  <sheetFormatPr defaultRowHeight="15" outlineLevelRow="1" x14ac:dyDescent="0.25"/>
  <cols>
    <col min="2" max="2" width="19.85546875" customWidth="1"/>
    <col min="4" max="4" width="9.85546875" bestFit="1" customWidth="1"/>
    <col min="8" max="8" width="10.7109375" customWidth="1"/>
    <col min="11" max="11" width="15.7109375" customWidth="1"/>
    <col min="13" max="13" width="9.140625" customWidth="1"/>
    <col min="17" max="17" width="10.28515625" customWidth="1"/>
  </cols>
  <sheetData>
    <row r="1" spans="1:19" ht="36" customHeight="1" x14ac:dyDescent="0.35">
      <c r="B1" s="391" t="s">
        <v>223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9" ht="57.75" customHeight="1" x14ac:dyDescent="0.35">
      <c r="B2" s="392" t="str">
        <f>CONCATENATE(ИП!A42," ",ИП!B42, " ",ИП!D42)</f>
        <v xml:space="preserve">4.5. Реконструкция участка наружной теплотрассы протяженностью 236 м.п. в 2-х трубном исполнении с 2-мя компенсаторами из стальных труб диаметром д 159 мм, Д 108 мм в ППУ изоляции. г. Скопин мкр. Заречный 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</row>
    <row r="4" spans="1:19" ht="127.5" customHeight="1" x14ac:dyDescent="0.25">
      <c r="B4" s="36" t="s">
        <v>191</v>
      </c>
      <c r="C4" s="36" t="s">
        <v>192</v>
      </c>
      <c r="D4" s="36" t="s">
        <v>226</v>
      </c>
      <c r="E4" s="36" t="s">
        <v>227</v>
      </c>
      <c r="F4" s="36" t="s">
        <v>228</v>
      </c>
      <c r="G4" s="36" t="s">
        <v>231</v>
      </c>
      <c r="H4" s="36" t="s">
        <v>232</v>
      </c>
      <c r="I4" s="36" t="s">
        <v>225</v>
      </c>
      <c r="J4" s="36" t="s">
        <v>284</v>
      </c>
      <c r="K4" s="393" t="s">
        <v>193</v>
      </c>
      <c r="L4" s="394"/>
      <c r="M4" s="397" t="s">
        <v>143</v>
      </c>
      <c r="N4" s="398"/>
      <c r="O4" s="398"/>
      <c r="P4" s="399"/>
    </row>
    <row r="5" spans="1:19" s="16" customFormat="1" ht="15" customHeight="1" x14ac:dyDescent="0.25">
      <c r="B5" s="121" t="s">
        <v>218</v>
      </c>
      <c r="C5" s="122"/>
      <c r="D5" s="122">
        <f t="shared" ref="D5:I5" si="0">SUM(D7:D7)</f>
        <v>0.27100000000000002</v>
      </c>
      <c r="E5" s="122">
        <f t="shared" si="0"/>
        <v>0.27100000000000002</v>
      </c>
      <c r="F5" s="122">
        <f t="shared" si="0"/>
        <v>0.27100000000000002</v>
      </c>
      <c r="G5" s="122">
        <f t="shared" si="0"/>
        <v>0.27100000000000002</v>
      </c>
      <c r="H5" s="122">
        <f t="shared" si="0"/>
        <v>0</v>
      </c>
      <c r="I5" s="122">
        <f t="shared" si="0"/>
        <v>176.15</v>
      </c>
      <c r="J5" s="40"/>
      <c r="K5" s="388">
        <f>S31/I5</f>
        <v>1.3301961288461535</v>
      </c>
      <c r="L5" s="389"/>
      <c r="M5" s="396">
        <f>(P31)*E38</f>
        <v>512.67779999999993</v>
      </c>
      <c r="N5" s="396"/>
      <c r="O5" s="396"/>
      <c r="P5" s="396"/>
    </row>
    <row r="6" spans="1:19" x14ac:dyDescent="0.25">
      <c r="B6" s="37" t="s">
        <v>224</v>
      </c>
      <c r="C6" s="38"/>
      <c r="D6" s="39"/>
      <c r="E6" s="39"/>
      <c r="F6" s="39"/>
      <c r="G6" s="39"/>
      <c r="H6" s="39"/>
      <c r="I6" s="48"/>
      <c r="J6" s="40"/>
      <c r="K6" s="334"/>
      <c r="L6" s="335"/>
      <c r="M6" s="336"/>
      <c r="N6" s="336"/>
      <c r="O6" s="336"/>
      <c r="P6" s="336"/>
    </row>
    <row r="7" spans="1:19" x14ac:dyDescent="0.25">
      <c r="B7" s="115">
        <v>300</v>
      </c>
      <c r="C7" s="41">
        <v>325</v>
      </c>
      <c r="D7" s="41">
        <f>0.236+0.038/2+0.032/2</f>
        <v>0.27100000000000002</v>
      </c>
      <c r="E7" s="41">
        <f>D7</f>
        <v>0.27100000000000002</v>
      </c>
      <c r="F7" s="41">
        <f>E7-F12</f>
        <v>0.27100000000000002</v>
      </c>
      <c r="G7" s="41">
        <f>F7-G12</f>
        <v>0.27100000000000002</v>
      </c>
      <c r="H7" s="41">
        <f>G7-H9</f>
        <v>0</v>
      </c>
      <c r="I7" s="108">
        <f>$C7*D7*2</f>
        <v>176.15</v>
      </c>
      <c r="J7" s="42"/>
      <c r="K7" s="402"/>
      <c r="L7" s="403"/>
      <c r="M7" s="336"/>
      <c r="N7" s="336"/>
      <c r="O7" s="336"/>
      <c r="P7" s="336"/>
    </row>
    <row r="8" spans="1:19" x14ac:dyDescent="0.25">
      <c r="B8" s="115"/>
      <c r="C8" s="41"/>
      <c r="D8" s="41"/>
      <c r="E8" s="41"/>
      <c r="F8" s="41"/>
      <c r="G8" s="41"/>
      <c r="H8" s="41"/>
      <c r="I8" s="108"/>
      <c r="J8" s="42"/>
      <c r="K8" s="402"/>
      <c r="L8" s="403"/>
      <c r="M8" s="336"/>
      <c r="N8" s="336"/>
      <c r="O8" s="336"/>
      <c r="P8" s="336"/>
    </row>
    <row r="9" spans="1:19" s="16" customFormat="1" ht="15" customHeight="1" x14ac:dyDescent="0.25">
      <c r="B9" s="121" t="s">
        <v>217</v>
      </c>
      <c r="C9" s="123"/>
      <c r="D9" s="124"/>
      <c r="E9" s="124"/>
      <c r="F9" s="124">
        <f>SUM(F11:F12)</f>
        <v>0</v>
      </c>
      <c r="G9" s="124">
        <f t="shared" ref="G9" si="1">SUM(G11:G12)</f>
        <v>0</v>
      </c>
      <c r="H9" s="124">
        <f>SUM(H11:H12)</f>
        <v>0.27100000000000002</v>
      </c>
      <c r="I9" s="107"/>
      <c r="J9" s="72">
        <f>SUM(J11:J12)</f>
        <v>81.48599999999999</v>
      </c>
      <c r="K9" s="400">
        <v>1.71</v>
      </c>
      <c r="L9" s="401"/>
      <c r="M9" s="390">
        <v>109.62</v>
      </c>
      <c r="N9" s="390"/>
      <c r="O9" s="390"/>
      <c r="P9" s="390"/>
    </row>
    <row r="10" spans="1:19" x14ac:dyDescent="0.25">
      <c r="B10" s="37" t="s">
        <v>224</v>
      </c>
      <c r="C10" s="41"/>
      <c r="D10" s="41"/>
      <c r="E10" s="41"/>
      <c r="F10" s="41"/>
      <c r="G10" s="41"/>
      <c r="H10" s="41"/>
      <c r="I10" s="42"/>
      <c r="J10" s="42"/>
      <c r="K10" s="334"/>
      <c r="L10" s="335"/>
      <c r="M10" s="336"/>
      <c r="N10" s="336"/>
      <c r="O10" s="336"/>
      <c r="P10" s="336"/>
    </row>
    <row r="11" spans="1:19" x14ac:dyDescent="0.25">
      <c r="B11" s="135">
        <v>100</v>
      </c>
      <c r="C11" s="41">
        <v>108</v>
      </c>
      <c r="D11" s="41"/>
      <c r="E11" s="41"/>
      <c r="F11" s="41"/>
      <c r="G11" s="41"/>
      <c r="H11" s="41">
        <f>0.092/2</f>
        <v>4.5999999999999999E-2</v>
      </c>
      <c r="I11" s="42"/>
      <c r="J11" s="42">
        <f>$C11*H11*2</f>
        <v>9.9359999999999999</v>
      </c>
      <c r="K11" s="402"/>
      <c r="L11" s="403"/>
      <c r="M11" s="336"/>
      <c r="N11" s="336"/>
      <c r="O11" s="336"/>
      <c r="P11" s="336"/>
    </row>
    <row r="12" spans="1:19" x14ac:dyDescent="0.25">
      <c r="B12" s="115">
        <v>150</v>
      </c>
      <c r="C12" s="41">
        <v>159</v>
      </c>
      <c r="D12" s="41"/>
      <c r="E12" s="41"/>
      <c r="F12" s="41"/>
      <c r="G12" s="41"/>
      <c r="H12" s="41">
        <f>0.45/2</f>
        <v>0.22500000000000001</v>
      </c>
      <c r="I12" s="41"/>
      <c r="J12" s="42">
        <f>$C12*H12*2</f>
        <v>71.55</v>
      </c>
      <c r="K12" s="402"/>
      <c r="L12" s="403"/>
      <c r="M12" s="336"/>
      <c r="N12" s="336"/>
      <c r="O12" s="336"/>
      <c r="P12" s="336"/>
    </row>
    <row r="13" spans="1:19" x14ac:dyDescent="0.25">
      <c r="H13" s="43"/>
      <c r="I13" s="43"/>
    </row>
    <row r="14" spans="1:19" ht="49.5" customHeight="1" x14ac:dyDescent="0.25">
      <c r="B14" s="349" t="s">
        <v>195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</row>
    <row r="15" spans="1:19" ht="16.5" thickBot="1" x14ac:dyDescent="0.3">
      <c r="A15" s="44"/>
      <c r="B15" s="352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</row>
    <row r="16" spans="1:19" ht="36" customHeight="1" x14ac:dyDescent="0.25">
      <c r="A16" s="353" t="s">
        <v>196</v>
      </c>
      <c r="B16" s="356" t="s">
        <v>197</v>
      </c>
      <c r="C16" s="359" t="s">
        <v>198</v>
      </c>
      <c r="D16" s="362" t="s">
        <v>199</v>
      </c>
      <c r="E16" s="362" t="s">
        <v>200</v>
      </c>
      <c r="F16" s="362"/>
      <c r="G16" s="362"/>
      <c r="H16" s="362" t="s">
        <v>201</v>
      </c>
      <c r="I16" s="385"/>
      <c r="J16" s="376" t="s">
        <v>202</v>
      </c>
      <c r="K16" s="382" t="s">
        <v>203</v>
      </c>
      <c r="L16" s="376" t="s">
        <v>204</v>
      </c>
      <c r="M16" s="376" t="s">
        <v>205</v>
      </c>
      <c r="N16" s="376" t="s">
        <v>206</v>
      </c>
      <c r="O16" s="376" t="s">
        <v>207</v>
      </c>
      <c r="P16" s="376" t="s">
        <v>208</v>
      </c>
      <c r="Q16" s="382" t="s">
        <v>209</v>
      </c>
      <c r="R16" s="362" t="s">
        <v>210</v>
      </c>
      <c r="S16" s="365" t="s">
        <v>211</v>
      </c>
    </row>
    <row r="17" spans="1:20" ht="34.5" customHeight="1" x14ac:dyDescent="0.25">
      <c r="A17" s="354"/>
      <c r="B17" s="357"/>
      <c r="C17" s="360"/>
      <c r="D17" s="363"/>
      <c r="E17" s="368" t="s">
        <v>212</v>
      </c>
      <c r="F17" s="370" t="s">
        <v>213</v>
      </c>
      <c r="G17" s="372" t="s">
        <v>211</v>
      </c>
      <c r="H17" s="374" t="s">
        <v>214</v>
      </c>
      <c r="I17" s="368" t="s">
        <v>215</v>
      </c>
      <c r="J17" s="377"/>
      <c r="K17" s="386"/>
      <c r="L17" s="377"/>
      <c r="M17" s="378"/>
      <c r="N17" s="378"/>
      <c r="O17" s="380"/>
      <c r="P17" s="380"/>
      <c r="Q17" s="383"/>
      <c r="R17" s="368"/>
      <c r="S17" s="366"/>
    </row>
    <row r="18" spans="1:20" ht="49.5" customHeight="1" thickBot="1" x14ac:dyDescent="0.3">
      <c r="A18" s="355"/>
      <c r="B18" s="358"/>
      <c r="C18" s="361"/>
      <c r="D18" s="364"/>
      <c r="E18" s="369"/>
      <c r="F18" s="371"/>
      <c r="G18" s="373"/>
      <c r="H18" s="375"/>
      <c r="I18" s="369"/>
      <c r="J18" s="373"/>
      <c r="K18" s="375"/>
      <c r="L18" s="373"/>
      <c r="M18" s="379" t="s">
        <v>216</v>
      </c>
      <c r="N18" s="379"/>
      <c r="O18" s="381"/>
      <c r="P18" s="381"/>
      <c r="Q18" s="384"/>
      <c r="R18" s="410"/>
      <c r="S18" s="367"/>
    </row>
    <row r="19" spans="1:20" ht="15.75" x14ac:dyDescent="0.25">
      <c r="A19" s="406"/>
      <c r="B19" s="407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9"/>
      <c r="S19" s="87"/>
    </row>
    <row r="20" spans="1:20" hidden="1" x14ac:dyDescent="0.25">
      <c r="A20" s="55">
        <v>25</v>
      </c>
      <c r="B20" s="45">
        <v>32</v>
      </c>
      <c r="C20" s="342">
        <f>'[2]Исходные данные'!$J$25</f>
        <v>57</v>
      </c>
      <c r="D20" s="342">
        <f>'[2]Исходные данные'!$J$26</f>
        <v>46</v>
      </c>
      <c r="E20" s="45">
        <v>0</v>
      </c>
      <c r="F20" s="45">
        <v>0</v>
      </c>
      <c r="G20" s="125">
        <f>E20+F20</f>
        <v>0</v>
      </c>
      <c r="H20" s="56">
        <v>17.655999999999999</v>
      </c>
      <c r="I20" s="57">
        <v>41.64</v>
      </c>
      <c r="J20" s="57">
        <v>1.2</v>
      </c>
      <c r="K20" s="57">
        <f>E20*H20*J20</f>
        <v>0</v>
      </c>
      <c r="L20" s="126">
        <f>I20*F20*1.2</f>
        <v>0</v>
      </c>
      <c r="M20" s="57">
        <f t="shared" ref="M20:M33" si="2">(K20+L20)*$E$38/1000000</f>
        <v>0</v>
      </c>
      <c r="N20" s="58">
        <v>5.6999999999999998E-4</v>
      </c>
      <c r="O20" s="126">
        <f>N20*G20</f>
        <v>0</v>
      </c>
      <c r="P20" s="57">
        <f>O20*0.0025</f>
        <v>0</v>
      </c>
      <c r="Q20" s="57">
        <f t="shared" ref="Q20:Q33" si="3">1*P20*981*((0.75*C$20+(1-0.75)*D$20)-5)/1000000*$E$38</f>
        <v>0</v>
      </c>
      <c r="R20" s="127">
        <f>M20+Q20</f>
        <v>0</v>
      </c>
      <c r="S20" s="88"/>
    </row>
    <row r="21" spans="1:20" hidden="1" x14ac:dyDescent="0.25">
      <c r="A21" s="55">
        <v>32</v>
      </c>
      <c r="B21" s="45">
        <v>42</v>
      </c>
      <c r="C21" s="342"/>
      <c r="D21" s="342"/>
      <c r="E21" s="48">
        <v>0</v>
      </c>
      <c r="F21" s="48">
        <v>0</v>
      </c>
      <c r="G21" s="48">
        <f>E21+F21</f>
        <v>0</v>
      </c>
      <c r="H21" s="56">
        <v>19.210933333333333</v>
      </c>
      <c r="I21" s="57">
        <v>44.4512</v>
      </c>
      <c r="J21" s="53">
        <v>1.2</v>
      </c>
      <c r="K21" s="53">
        <f>E21*H21*J21</f>
        <v>0</v>
      </c>
      <c r="L21" s="53">
        <f t="shared" ref="L21:L33" si="4">I21*F21*1.2</f>
        <v>0</v>
      </c>
      <c r="M21" s="53">
        <f t="shared" si="2"/>
        <v>0</v>
      </c>
      <c r="N21" s="58">
        <v>9.1066666666666661E-4</v>
      </c>
      <c r="O21" s="53">
        <f>N21*G21</f>
        <v>0</v>
      </c>
      <c r="P21" s="53">
        <f t="shared" ref="P21:P29" si="5">O21*0.0025</f>
        <v>0</v>
      </c>
      <c r="Q21" s="53">
        <f t="shared" si="3"/>
        <v>0</v>
      </c>
      <c r="R21" s="92">
        <f t="shared" ref="R21:R33" si="6">M21+Q21</f>
        <v>0</v>
      </c>
      <c r="S21" s="88"/>
    </row>
    <row r="22" spans="1:20" hidden="1" x14ac:dyDescent="0.25">
      <c r="A22" s="59">
        <v>40</v>
      </c>
      <c r="B22" s="48">
        <v>45</v>
      </c>
      <c r="C22" s="343"/>
      <c r="D22" s="343"/>
      <c r="E22" s="48">
        <v>0</v>
      </c>
      <c r="F22" s="48">
        <v>0</v>
      </c>
      <c r="G22" s="48">
        <f t="shared" ref="G22:G33" si="7">E22+F22</f>
        <v>0</v>
      </c>
      <c r="H22" s="60">
        <v>20.988</v>
      </c>
      <c r="I22" s="53">
        <v>47.664000000000001</v>
      </c>
      <c r="J22" s="53">
        <v>1.2</v>
      </c>
      <c r="K22" s="53">
        <f t="shared" ref="K22:K33" si="8">E22*H22*J22</f>
        <v>0</v>
      </c>
      <c r="L22" s="53">
        <f t="shared" si="4"/>
        <v>0</v>
      </c>
      <c r="M22" s="53">
        <f t="shared" si="2"/>
        <v>0</v>
      </c>
      <c r="N22" s="61">
        <v>1.2999999999999999E-3</v>
      </c>
      <c r="O22" s="53">
        <f t="shared" ref="O22:O33" si="9">N22*G22</f>
        <v>0</v>
      </c>
      <c r="P22" s="53">
        <f t="shared" si="5"/>
        <v>0</v>
      </c>
      <c r="Q22" s="53">
        <f t="shared" si="3"/>
        <v>0</v>
      </c>
      <c r="R22" s="92">
        <f t="shared" si="6"/>
        <v>0</v>
      </c>
      <c r="S22" s="88"/>
    </row>
    <row r="23" spans="1:20" hidden="1" x14ac:dyDescent="0.25">
      <c r="A23" s="59">
        <v>50</v>
      </c>
      <c r="B23" s="48">
        <v>57</v>
      </c>
      <c r="C23" s="343"/>
      <c r="D23" s="343"/>
      <c r="E23" s="48">
        <v>0</v>
      </c>
      <c r="F23" s="48">
        <v>0</v>
      </c>
      <c r="G23" s="48">
        <f t="shared" si="7"/>
        <v>0</v>
      </c>
      <c r="H23" s="60">
        <v>23.988</v>
      </c>
      <c r="I23" s="53">
        <v>51.68</v>
      </c>
      <c r="J23" s="53">
        <v>1.2</v>
      </c>
      <c r="K23" s="53">
        <f t="shared" si="8"/>
        <v>0</v>
      </c>
      <c r="L23" s="53">
        <f t="shared" si="4"/>
        <v>0</v>
      </c>
      <c r="M23" s="53">
        <f t="shared" si="2"/>
        <v>0</v>
      </c>
      <c r="N23" s="61">
        <v>2E-3</v>
      </c>
      <c r="O23" s="53">
        <f t="shared" si="9"/>
        <v>0</v>
      </c>
      <c r="P23" s="53">
        <f>O23*0.0025</f>
        <v>0</v>
      </c>
      <c r="Q23" s="53">
        <f t="shared" si="3"/>
        <v>0</v>
      </c>
      <c r="R23" s="92">
        <f t="shared" si="6"/>
        <v>0</v>
      </c>
      <c r="S23" s="88"/>
    </row>
    <row r="24" spans="1:20" x14ac:dyDescent="0.25">
      <c r="A24" s="59">
        <v>70</v>
      </c>
      <c r="B24" s="48">
        <v>76</v>
      </c>
      <c r="C24" s="343"/>
      <c r="D24" s="343"/>
      <c r="E24" s="48">
        <v>0</v>
      </c>
      <c r="F24" s="48">
        <v>0</v>
      </c>
      <c r="G24" s="48">
        <f t="shared" si="7"/>
        <v>0</v>
      </c>
      <c r="H24" s="60">
        <v>28.32</v>
      </c>
      <c r="I24" s="53">
        <v>59.2</v>
      </c>
      <c r="J24" s="53">
        <v>1.2</v>
      </c>
      <c r="K24" s="53">
        <f t="shared" si="8"/>
        <v>0</v>
      </c>
      <c r="L24" s="53">
        <f>I24*F24*1.2</f>
        <v>0</v>
      </c>
      <c r="M24" s="53">
        <f t="shared" si="2"/>
        <v>0</v>
      </c>
      <c r="N24" s="61">
        <v>3.8999999999999998E-3</v>
      </c>
      <c r="O24" s="53">
        <f t="shared" si="9"/>
        <v>0</v>
      </c>
      <c r="P24" s="53">
        <f t="shared" si="5"/>
        <v>0</v>
      </c>
      <c r="Q24" s="53">
        <f t="shared" si="3"/>
        <v>0</v>
      </c>
      <c r="R24" s="92">
        <f t="shared" si="6"/>
        <v>0</v>
      </c>
      <c r="S24" s="88"/>
    </row>
    <row r="25" spans="1:20" s="66" customFormat="1" x14ac:dyDescent="0.25">
      <c r="A25" s="59">
        <v>80</v>
      </c>
      <c r="B25" s="48">
        <v>89</v>
      </c>
      <c r="C25" s="343"/>
      <c r="D25" s="343"/>
      <c r="E25" s="48">
        <v>0</v>
      </c>
      <c r="F25" s="48">
        <v>0</v>
      </c>
      <c r="G25" s="48">
        <f t="shared" si="7"/>
        <v>0</v>
      </c>
      <c r="H25" s="60">
        <v>31.32</v>
      </c>
      <c r="I25" s="53">
        <v>63.72</v>
      </c>
      <c r="J25" s="53">
        <v>1.2</v>
      </c>
      <c r="K25" s="53">
        <f t="shared" si="8"/>
        <v>0</v>
      </c>
      <c r="L25" s="53">
        <f t="shared" si="4"/>
        <v>0</v>
      </c>
      <c r="M25" s="53">
        <f t="shared" si="2"/>
        <v>0</v>
      </c>
      <c r="N25" s="61">
        <v>5.3E-3</v>
      </c>
      <c r="O25" s="53">
        <f t="shared" si="9"/>
        <v>0</v>
      </c>
      <c r="P25" s="53">
        <f t="shared" si="5"/>
        <v>0</v>
      </c>
      <c r="Q25" s="53">
        <f t="shared" si="3"/>
        <v>0</v>
      </c>
      <c r="R25" s="92">
        <f t="shared" si="6"/>
        <v>0</v>
      </c>
      <c r="S25" s="88"/>
    </row>
    <row r="26" spans="1:20" s="24" customFormat="1" x14ac:dyDescent="0.25">
      <c r="A26" s="73">
        <v>125</v>
      </c>
      <c r="B26" s="74">
        <v>133</v>
      </c>
      <c r="C26" s="343"/>
      <c r="D26" s="343"/>
      <c r="E26" s="74">
        <v>0</v>
      </c>
      <c r="F26" s="48">
        <v>0</v>
      </c>
      <c r="G26" s="74">
        <f>E26+F26</f>
        <v>0</v>
      </c>
      <c r="H26" s="75">
        <v>39.316000000000003</v>
      </c>
      <c r="I26" s="74">
        <v>80.751999999999995</v>
      </c>
      <c r="J26" s="74">
        <v>1.2</v>
      </c>
      <c r="K26" s="74">
        <f t="shared" si="8"/>
        <v>0</v>
      </c>
      <c r="L26" s="74">
        <f t="shared" si="4"/>
        <v>0</v>
      </c>
      <c r="M26" s="74">
        <f t="shared" si="2"/>
        <v>0</v>
      </c>
      <c r="N26" s="61">
        <v>1.23E-2</v>
      </c>
      <c r="O26" s="74">
        <f>N26*G26</f>
        <v>0</v>
      </c>
      <c r="P26" s="74">
        <f t="shared" si="5"/>
        <v>0</v>
      </c>
      <c r="Q26" s="74">
        <f t="shared" si="3"/>
        <v>0</v>
      </c>
      <c r="R26" s="92">
        <f>M26+Q26</f>
        <v>0</v>
      </c>
      <c r="S26" s="114">
        <f>R26*1.5</f>
        <v>0</v>
      </c>
    </row>
    <row r="27" spans="1:20" s="142" customFormat="1" x14ac:dyDescent="0.25">
      <c r="A27" s="136">
        <v>100</v>
      </c>
      <c r="B27" s="137">
        <v>108</v>
      </c>
      <c r="C27" s="343"/>
      <c r="D27" s="343"/>
      <c r="E27" s="137">
        <f>H11*2*1000</f>
        <v>92</v>
      </c>
      <c r="F27" s="137">
        <v>0</v>
      </c>
      <c r="G27" s="137">
        <f>E27+F27</f>
        <v>92</v>
      </c>
      <c r="H27" s="138">
        <v>34.984000000000002</v>
      </c>
      <c r="I27" s="137">
        <v>70.239999999999995</v>
      </c>
      <c r="J27" s="137">
        <v>1.2</v>
      </c>
      <c r="K27" s="137">
        <f>E27*H27*J27</f>
        <v>3862.2336</v>
      </c>
      <c r="L27" s="137">
        <f>I27*F27*1.2</f>
        <v>0</v>
      </c>
      <c r="M27" s="137">
        <f t="shared" si="2"/>
        <v>19.484196065279999</v>
      </c>
      <c r="N27" s="139">
        <v>7.9000000000000008E-3</v>
      </c>
      <c r="O27" s="137">
        <f t="shared" ref="O27" si="10">N27*G27</f>
        <v>0.72680000000000011</v>
      </c>
      <c r="P27" s="137">
        <f t="shared" si="5"/>
        <v>1.8170000000000003E-3</v>
      </c>
      <c r="Q27" s="137">
        <f t="shared" si="3"/>
        <v>0.44286781850279999</v>
      </c>
      <c r="R27" s="140">
        <f t="shared" si="6"/>
        <v>19.9270638837828</v>
      </c>
      <c r="S27" s="141">
        <f>R27</f>
        <v>19.9270638837828</v>
      </c>
      <c r="T27" s="142" t="s">
        <v>217</v>
      </c>
    </row>
    <row r="28" spans="1:20" s="142" customFormat="1" x14ac:dyDescent="0.25">
      <c r="A28" s="136">
        <v>150</v>
      </c>
      <c r="B28" s="137">
        <v>159</v>
      </c>
      <c r="C28" s="343"/>
      <c r="D28" s="343"/>
      <c r="E28" s="137">
        <f>H12*2*1000</f>
        <v>450</v>
      </c>
      <c r="F28" s="137">
        <f>G12*2*1000</f>
        <v>0</v>
      </c>
      <c r="G28" s="137">
        <f>E28+F28</f>
        <v>450</v>
      </c>
      <c r="H28" s="138">
        <v>41.984000000000002</v>
      </c>
      <c r="I28" s="137">
        <v>87.76</v>
      </c>
      <c r="J28" s="137">
        <v>1.2</v>
      </c>
      <c r="K28" s="137">
        <f t="shared" ref="K28" si="11">E28*H28*J28</f>
        <v>22671.359999999997</v>
      </c>
      <c r="L28" s="137">
        <f t="shared" ref="L28" si="12">I28*F28*1.2</f>
        <v>0</v>
      </c>
      <c r="M28" s="137">
        <f t="shared" si="2"/>
        <v>114.37247692799997</v>
      </c>
      <c r="N28" s="139">
        <v>1.77E-2</v>
      </c>
      <c r="O28" s="137">
        <f>N28*G28</f>
        <v>7.9649999999999999</v>
      </c>
      <c r="P28" s="137">
        <f t="shared" si="5"/>
        <v>1.99125E-2</v>
      </c>
      <c r="Q28" s="137">
        <f t="shared" si="3"/>
        <v>4.8533876917649996</v>
      </c>
      <c r="R28" s="140">
        <f t="shared" si="6"/>
        <v>119.22586461976496</v>
      </c>
      <c r="S28" s="141">
        <f>(R28+R29)</f>
        <v>119.22586461976496</v>
      </c>
    </row>
    <row r="29" spans="1:20" s="24" customFormat="1" x14ac:dyDescent="0.25">
      <c r="A29" s="73">
        <v>200</v>
      </c>
      <c r="B29" s="74">
        <v>219</v>
      </c>
      <c r="C29" s="343"/>
      <c r="D29" s="343"/>
      <c r="E29" s="74">
        <v>0</v>
      </c>
      <c r="F29" s="74">
        <f>D8*2*1000</f>
        <v>0</v>
      </c>
      <c r="G29" s="74">
        <f t="shared" si="7"/>
        <v>0</v>
      </c>
      <c r="H29" s="75">
        <v>50.648000000000003</v>
      </c>
      <c r="I29" s="74">
        <v>104.84</v>
      </c>
      <c r="J29" s="74">
        <v>1.1499999999999999</v>
      </c>
      <c r="K29" s="74">
        <f t="shared" si="8"/>
        <v>0</v>
      </c>
      <c r="L29" s="74">
        <f t="shared" si="4"/>
        <v>0</v>
      </c>
      <c r="M29" s="74">
        <f t="shared" si="2"/>
        <v>0</v>
      </c>
      <c r="N29" s="61">
        <v>3.3000000000000002E-2</v>
      </c>
      <c r="O29" s="74">
        <f t="shared" si="9"/>
        <v>0</v>
      </c>
      <c r="P29" s="74">
        <f t="shared" si="5"/>
        <v>0</v>
      </c>
      <c r="Q29" s="74">
        <f t="shared" si="3"/>
        <v>0</v>
      </c>
      <c r="R29" s="92">
        <f>M29+Q29</f>
        <v>0</v>
      </c>
      <c r="S29" s="114"/>
    </row>
    <row r="30" spans="1:20" s="24" customFormat="1" x14ac:dyDescent="0.25">
      <c r="A30" s="73">
        <v>250</v>
      </c>
      <c r="B30" s="74">
        <v>273</v>
      </c>
      <c r="C30" s="343"/>
      <c r="D30" s="343"/>
      <c r="E30" s="74">
        <v>0</v>
      </c>
      <c r="F30" s="74">
        <v>0</v>
      </c>
      <c r="G30" s="74">
        <f t="shared" si="7"/>
        <v>0</v>
      </c>
      <c r="H30" s="75">
        <v>58.643999999999998</v>
      </c>
      <c r="I30" s="74">
        <v>123.36</v>
      </c>
      <c r="J30" s="74">
        <v>1.1499999999999999</v>
      </c>
      <c r="K30" s="74">
        <f t="shared" si="8"/>
        <v>0</v>
      </c>
      <c r="L30" s="74">
        <f t="shared" si="4"/>
        <v>0</v>
      </c>
      <c r="M30" s="74">
        <f t="shared" si="2"/>
        <v>0</v>
      </c>
      <c r="N30" s="61">
        <v>5.2999999999999999E-2</v>
      </c>
      <c r="O30" s="74">
        <f t="shared" si="9"/>
        <v>0</v>
      </c>
      <c r="P30" s="74">
        <f>O30*0.0025</f>
        <v>0</v>
      </c>
      <c r="Q30" s="74">
        <f t="shared" si="3"/>
        <v>0</v>
      </c>
      <c r="R30" s="92">
        <f t="shared" si="6"/>
        <v>0</v>
      </c>
      <c r="S30" s="114"/>
    </row>
    <row r="31" spans="1:20" s="80" customFormat="1" hidden="1" outlineLevel="1" x14ac:dyDescent="0.25">
      <c r="A31" s="76">
        <v>300</v>
      </c>
      <c r="B31" s="77">
        <v>325</v>
      </c>
      <c r="C31" s="343"/>
      <c r="D31" s="343"/>
      <c r="E31" s="77">
        <f>D7*2*1000</f>
        <v>542</v>
      </c>
      <c r="F31" s="77">
        <v>0</v>
      </c>
      <c r="G31" s="77">
        <f t="shared" si="7"/>
        <v>542</v>
      </c>
      <c r="H31" s="81">
        <v>66.64</v>
      </c>
      <c r="I31" s="82">
        <v>139.88</v>
      </c>
      <c r="J31" s="77">
        <v>1.1499999999999999</v>
      </c>
      <c r="K31" s="77">
        <f>E31*H31*J31</f>
        <v>41536.711999999992</v>
      </c>
      <c r="L31" s="77">
        <f t="shared" si="4"/>
        <v>0</v>
      </c>
      <c r="M31" s="77">
        <f t="shared" si="2"/>
        <v>209.54440469759993</v>
      </c>
      <c r="N31" s="83">
        <v>7.4999999999999997E-2</v>
      </c>
      <c r="O31" s="77">
        <f t="shared" si="9"/>
        <v>40.65</v>
      </c>
      <c r="P31" s="77">
        <f>O31*0.0025</f>
        <v>0.10162499999999999</v>
      </c>
      <c r="Q31" s="77">
        <f t="shared" si="3"/>
        <v>24.769643398649993</v>
      </c>
      <c r="R31" s="94">
        <f>(M31+Q31)</f>
        <v>234.31404809624993</v>
      </c>
      <c r="S31" s="90">
        <f>R31</f>
        <v>234.31404809624993</v>
      </c>
      <c r="T31" s="24" t="s">
        <v>218</v>
      </c>
    </row>
    <row r="32" spans="1:20" s="24" customFormat="1" collapsed="1" x14ac:dyDescent="0.25">
      <c r="A32" s="73">
        <v>350</v>
      </c>
      <c r="B32" s="74">
        <v>375</v>
      </c>
      <c r="C32" s="343"/>
      <c r="D32" s="343"/>
      <c r="E32" s="74">
        <v>0</v>
      </c>
      <c r="F32" s="74">
        <v>0</v>
      </c>
      <c r="G32" s="74">
        <f t="shared" si="7"/>
        <v>0</v>
      </c>
      <c r="H32" s="75">
        <v>78.304000000000002</v>
      </c>
      <c r="I32" s="74">
        <v>154.88</v>
      </c>
      <c r="J32" s="74">
        <v>1.1499999999999999</v>
      </c>
      <c r="K32" s="74">
        <f t="shared" si="8"/>
        <v>0</v>
      </c>
      <c r="L32" s="74">
        <f t="shared" si="4"/>
        <v>0</v>
      </c>
      <c r="M32" s="74">
        <f t="shared" si="2"/>
        <v>0</v>
      </c>
      <c r="N32" s="74">
        <v>9.6199999999999994E-2</v>
      </c>
      <c r="O32" s="74">
        <f t="shared" si="9"/>
        <v>0</v>
      </c>
      <c r="P32" s="74">
        <f>O32*0.0025</f>
        <v>0</v>
      </c>
      <c r="Q32" s="74">
        <f t="shared" si="3"/>
        <v>0</v>
      </c>
      <c r="R32" s="92">
        <f t="shared" si="6"/>
        <v>0</v>
      </c>
      <c r="S32" s="114"/>
    </row>
    <row r="33" spans="1:19" s="24" customFormat="1" ht="15.75" thickBot="1" x14ac:dyDescent="0.3">
      <c r="A33" s="130">
        <v>400</v>
      </c>
      <c r="B33" s="131">
        <v>426</v>
      </c>
      <c r="C33" s="344"/>
      <c r="D33" s="344"/>
      <c r="E33" s="131">
        <v>0</v>
      </c>
      <c r="F33" s="131">
        <v>0</v>
      </c>
      <c r="G33" s="131">
        <f t="shared" si="7"/>
        <v>0</v>
      </c>
      <c r="H33" s="132">
        <v>89.635999999999996</v>
      </c>
      <c r="I33" s="131">
        <v>168.96</v>
      </c>
      <c r="J33" s="131">
        <v>1.1499999999999999</v>
      </c>
      <c r="K33" s="131">
        <f t="shared" si="8"/>
        <v>0</v>
      </c>
      <c r="L33" s="133">
        <f t="shared" si="4"/>
        <v>0</v>
      </c>
      <c r="M33" s="133">
        <f t="shared" si="2"/>
        <v>0</v>
      </c>
      <c r="N33" s="131">
        <v>0.126</v>
      </c>
      <c r="O33" s="131">
        <f t="shared" si="9"/>
        <v>0</v>
      </c>
      <c r="P33" s="131">
        <f>O33*0.0025</f>
        <v>0</v>
      </c>
      <c r="Q33" s="131">
        <f t="shared" si="3"/>
        <v>0</v>
      </c>
      <c r="R33" s="99">
        <f t="shared" si="6"/>
        <v>0</v>
      </c>
      <c r="S33" s="134"/>
    </row>
    <row r="34" spans="1:19" ht="15.75" thickBot="1" x14ac:dyDescent="0.3">
      <c r="A34" s="100"/>
      <c r="B34" s="101" t="s">
        <v>219</v>
      </c>
      <c r="C34" s="345"/>
      <c r="D34" s="345"/>
      <c r="E34" s="102"/>
      <c r="F34" s="102"/>
      <c r="G34" s="102"/>
      <c r="H34" s="103"/>
      <c r="I34" s="103"/>
      <c r="J34" s="103"/>
      <c r="K34" s="103"/>
      <c r="L34" s="103"/>
      <c r="M34" s="103"/>
      <c r="N34" s="104"/>
      <c r="O34" s="105"/>
      <c r="P34" s="105"/>
      <c r="Q34" s="106"/>
      <c r="R34" s="106"/>
      <c r="S34" s="118"/>
    </row>
    <row r="36" spans="1:19" x14ac:dyDescent="0.25">
      <c r="B36" s="331" t="s">
        <v>220</v>
      </c>
      <c r="C36" s="332"/>
      <c r="D36" s="333"/>
      <c r="E36" s="69">
        <v>5</v>
      </c>
    </row>
    <row r="37" spans="1:19" x14ac:dyDescent="0.25">
      <c r="B37" s="331" t="s">
        <v>221</v>
      </c>
      <c r="C37" s="332"/>
      <c r="D37" s="333"/>
      <c r="E37" s="70">
        <v>-1.7678301886792458</v>
      </c>
    </row>
    <row r="38" spans="1:19" x14ac:dyDescent="0.25">
      <c r="B38" s="331" t="s">
        <v>222</v>
      </c>
      <c r="C38" s="332"/>
      <c r="D38" s="333"/>
      <c r="E38" s="71">
        <v>5044.7999999999993</v>
      </c>
    </row>
  </sheetData>
  <mergeCells count="50">
    <mergeCell ref="B1:O1"/>
    <mergeCell ref="B2:Q2"/>
    <mergeCell ref="K4:L4"/>
    <mergeCell ref="M4:P4"/>
    <mergeCell ref="K5:L5"/>
    <mergeCell ref="M5:P5"/>
    <mergeCell ref="K6:L6"/>
    <mergeCell ref="M6:P6"/>
    <mergeCell ref="K7:L7"/>
    <mergeCell ref="M7:P7"/>
    <mergeCell ref="K8:L8"/>
    <mergeCell ref="M8:P8"/>
    <mergeCell ref="K9:L9"/>
    <mergeCell ref="M9:P9"/>
    <mergeCell ref="K10:L10"/>
    <mergeCell ref="M10:P10"/>
    <mergeCell ref="K12:L12"/>
    <mergeCell ref="M12:P12"/>
    <mergeCell ref="S16:S18"/>
    <mergeCell ref="E17:E18"/>
    <mergeCell ref="F17:F18"/>
    <mergeCell ref="G17:G18"/>
    <mergeCell ref="H17:H18"/>
    <mergeCell ref="I17:I18"/>
    <mergeCell ref="L16:L18"/>
    <mergeCell ref="M16:M18"/>
    <mergeCell ref="N16:N18"/>
    <mergeCell ref="O16:O18"/>
    <mergeCell ref="P16:P18"/>
    <mergeCell ref="Q16:Q18"/>
    <mergeCell ref="E16:G16"/>
    <mergeCell ref="H16:I16"/>
    <mergeCell ref="J16:J18"/>
    <mergeCell ref="K16:K18"/>
    <mergeCell ref="B38:D38"/>
    <mergeCell ref="K11:L11"/>
    <mergeCell ref="M11:P11"/>
    <mergeCell ref="A19:R19"/>
    <mergeCell ref="C20:C33"/>
    <mergeCell ref="D20:D33"/>
    <mergeCell ref="C34:D34"/>
    <mergeCell ref="B36:D36"/>
    <mergeCell ref="B37:D37"/>
    <mergeCell ref="R16:R18"/>
    <mergeCell ref="B14:R14"/>
    <mergeCell ref="B15:R15"/>
    <mergeCell ref="A16:A18"/>
    <mergeCell ref="B16:B18"/>
    <mergeCell ref="C16:C18"/>
    <mergeCell ref="D16:D18"/>
  </mergeCells>
  <pageMargins left="0.24" right="0.19" top="0.33" bottom="0.31" header="0.31496062992125984" footer="0.31496062992125984"/>
  <pageSetup paperSize="9" scale="65" orientation="landscape" r:id="rId1"/>
  <colBreaks count="1" manualBreakCount="1">
    <brk id="19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1"/>
  <sheetViews>
    <sheetView zoomScale="73" zoomScaleNormal="73" workbookViewId="0">
      <selection activeCell="H56" sqref="H56"/>
    </sheetView>
  </sheetViews>
  <sheetFormatPr defaultRowHeight="15" x14ac:dyDescent="0.25"/>
  <cols>
    <col min="2" max="2" width="45.140625" customWidth="1"/>
    <col min="7" max="7" width="12.5703125" customWidth="1"/>
    <col min="8" max="8" width="11.7109375" customWidth="1"/>
    <col min="9" max="9" width="21.42578125" customWidth="1"/>
  </cols>
  <sheetData>
    <row r="1" spans="1:10" ht="15.75" x14ac:dyDescent="0.25">
      <c r="A1" s="424" t="s">
        <v>115</v>
      </c>
      <c r="B1" s="424"/>
      <c r="C1" s="424"/>
      <c r="D1" s="424"/>
      <c r="E1" s="424"/>
      <c r="F1" s="424"/>
      <c r="G1" s="424"/>
      <c r="H1" s="424"/>
      <c r="I1" s="424"/>
      <c r="J1" s="424"/>
    </row>
    <row r="2" spans="1:10" ht="15.75" x14ac:dyDescent="0.25">
      <c r="A2" s="250"/>
      <c r="B2" s="250"/>
      <c r="C2" s="250"/>
      <c r="D2" s="250"/>
      <c r="E2" s="250"/>
      <c r="F2" s="250"/>
      <c r="G2" s="250"/>
      <c r="H2" s="250"/>
      <c r="I2" s="250"/>
      <c r="J2" s="250"/>
    </row>
    <row r="3" spans="1:10" ht="33.75" customHeight="1" x14ac:dyDescent="0.25">
      <c r="A3" s="425" t="s">
        <v>352</v>
      </c>
      <c r="B3" s="425"/>
      <c r="C3" s="425"/>
      <c r="D3" s="425"/>
      <c r="E3" s="425"/>
      <c r="F3" s="425"/>
      <c r="G3" s="425"/>
      <c r="H3" s="425"/>
      <c r="I3" s="425"/>
      <c r="J3" s="250"/>
    </row>
    <row r="4" spans="1:10" ht="15.75" x14ac:dyDescent="0.25">
      <c r="A4" s="424" t="s">
        <v>353</v>
      </c>
      <c r="B4" s="424"/>
      <c r="C4" s="424"/>
      <c r="D4" s="424"/>
      <c r="E4" s="424"/>
      <c r="F4" s="424"/>
      <c r="G4" s="424"/>
      <c r="H4" s="424"/>
      <c r="I4" s="424"/>
      <c r="J4" s="250"/>
    </row>
    <row r="5" spans="1:10" ht="15.75" x14ac:dyDescent="0.25">
      <c r="A5" s="250"/>
      <c r="B5" s="250"/>
      <c r="C5" s="250"/>
      <c r="D5" s="250"/>
      <c r="E5" s="250"/>
      <c r="F5" s="250"/>
      <c r="G5" s="250"/>
      <c r="H5" s="250"/>
      <c r="I5" s="250"/>
      <c r="J5" s="250"/>
    </row>
    <row r="6" spans="1:10" ht="15.75" x14ac:dyDescent="0.25">
      <c r="A6" s="424" t="s">
        <v>354</v>
      </c>
      <c r="B6" s="424"/>
      <c r="C6" s="424"/>
      <c r="D6" s="424"/>
      <c r="E6" s="424"/>
      <c r="F6" s="424"/>
      <c r="G6" s="424"/>
      <c r="H6" s="424"/>
      <c r="I6" s="424"/>
      <c r="J6" s="250"/>
    </row>
    <row r="7" spans="1:10" ht="15.75" thickBot="1" x14ac:dyDescent="0.3">
      <c r="A7" s="1"/>
    </row>
    <row r="8" spans="1:10" ht="38.25" customHeight="1" thickBot="1" x14ac:dyDescent="0.3">
      <c r="A8" s="417" t="s">
        <v>0</v>
      </c>
      <c r="B8" s="417" t="s">
        <v>1</v>
      </c>
      <c r="C8" s="419" t="s">
        <v>5</v>
      </c>
      <c r="D8" s="420"/>
      <c r="E8" s="419" t="s">
        <v>6</v>
      </c>
      <c r="F8" s="420"/>
      <c r="G8" s="419" t="s">
        <v>105</v>
      </c>
      <c r="H8" s="420"/>
      <c r="I8" s="417" t="s">
        <v>106</v>
      </c>
    </row>
    <row r="9" spans="1:10" ht="15.75" thickBot="1" x14ac:dyDescent="0.3">
      <c r="A9" s="418"/>
      <c r="B9" s="418"/>
      <c r="C9" s="2" t="s">
        <v>107</v>
      </c>
      <c r="D9" s="2" t="s">
        <v>108</v>
      </c>
      <c r="E9" s="2" t="s">
        <v>107</v>
      </c>
      <c r="F9" s="2" t="s">
        <v>108</v>
      </c>
      <c r="G9" s="2" t="s">
        <v>107</v>
      </c>
      <c r="H9" s="2" t="s">
        <v>108</v>
      </c>
      <c r="I9" s="418"/>
    </row>
    <row r="10" spans="1:10" ht="15.75" thickBot="1" x14ac:dyDescent="0.3">
      <c r="A10" s="3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</row>
    <row r="11" spans="1:10" ht="25.5" hidden="1" customHeight="1" thickBot="1" x14ac:dyDescent="0.3">
      <c r="A11" s="421" t="s">
        <v>16</v>
      </c>
      <c r="B11" s="422"/>
      <c r="C11" s="422"/>
      <c r="D11" s="422"/>
      <c r="E11" s="422"/>
      <c r="F11" s="422"/>
      <c r="G11" s="422"/>
      <c r="H11" s="422"/>
      <c r="I11" s="423"/>
    </row>
    <row r="12" spans="1:10" ht="15.75" hidden="1" thickBot="1" x14ac:dyDescent="0.3">
      <c r="A12" s="421" t="s">
        <v>17</v>
      </c>
      <c r="B12" s="422"/>
      <c r="C12" s="422"/>
      <c r="D12" s="422"/>
      <c r="E12" s="422"/>
      <c r="F12" s="422"/>
      <c r="G12" s="422"/>
      <c r="H12" s="422"/>
      <c r="I12" s="423"/>
    </row>
    <row r="13" spans="1:10" ht="15.75" hidden="1" thickBot="1" x14ac:dyDescent="0.3">
      <c r="A13" s="7" t="s">
        <v>36</v>
      </c>
      <c r="B13" s="4"/>
      <c r="C13" s="4"/>
      <c r="D13" s="4"/>
      <c r="E13" s="4"/>
      <c r="F13" s="4"/>
      <c r="G13" s="4"/>
      <c r="H13" s="4"/>
      <c r="I13" s="4"/>
    </row>
    <row r="14" spans="1:10" ht="15.75" hidden="1" thickBot="1" x14ac:dyDescent="0.3">
      <c r="A14" s="7" t="s">
        <v>37</v>
      </c>
      <c r="B14" s="4"/>
      <c r="C14" s="4"/>
      <c r="D14" s="4"/>
      <c r="E14" s="4"/>
      <c r="F14" s="4"/>
      <c r="G14" s="4"/>
      <c r="H14" s="4"/>
      <c r="I14" s="4"/>
    </row>
    <row r="15" spans="1:10" ht="25.5" hidden="1" customHeight="1" thickBot="1" x14ac:dyDescent="0.3">
      <c r="A15" s="421" t="s">
        <v>18</v>
      </c>
      <c r="B15" s="422"/>
      <c r="C15" s="422"/>
      <c r="D15" s="422"/>
      <c r="E15" s="422"/>
      <c r="F15" s="422"/>
      <c r="G15" s="422"/>
      <c r="H15" s="422"/>
      <c r="I15" s="423"/>
    </row>
    <row r="16" spans="1:10" ht="15.75" hidden="1" thickBot="1" x14ac:dyDescent="0.3">
      <c r="A16" s="7" t="s">
        <v>38</v>
      </c>
      <c r="B16" s="4"/>
      <c r="C16" s="4"/>
      <c r="D16" s="4"/>
      <c r="E16" s="4"/>
      <c r="F16" s="4"/>
      <c r="G16" s="4"/>
      <c r="H16" s="4"/>
      <c r="I16" s="4"/>
    </row>
    <row r="17" spans="1:9" ht="15.75" hidden="1" thickBot="1" x14ac:dyDescent="0.3">
      <c r="A17" s="7" t="s">
        <v>39</v>
      </c>
      <c r="B17" s="4"/>
      <c r="C17" s="4"/>
      <c r="D17" s="4"/>
      <c r="E17" s="4"/>
      <c r="F17" s="4"/>
      <c r="G17" s="4"/>
      <c r="H17" s="4"/>
      <c r="I17" s="4"/>
    </row>
    <row r="18" spans="1:9" ht="25.5" hidden="1" customHeight="1" thickBot="1" x14ac:dyDescent="0.3">
      <c r="A18" s="421" t="s">
        <v>19</v>
      </c>
      <c r="B18" s="422"/>
      <c r="C18" s="422"/>
      <c r="D18" s="422"/>
      <c r="E18" s="422"/>
      <c r="F18" s="422"/>
      <c r="G18" s="422"/>
      <c r="H18" s="422"/>
      <c r="I18" s="423"/>
    </row>
    <row r="19" spans="1:9" ht="15.75" hidden="1" thickBot="1" x14ac:dyDescent="0.3">
      <c r="A19" s="7" t="s">
        <v>40</v>
      </c>
      <c r="B19" s="4"/>
      <c r="C19" s="4"/>
      <c r="D19" s="4"/>
      <c r="E19" s="4"/>
      <c r="F19" s="4"/>
      <c r="G19" s="4"/>
      <c r="H19" s="4"/>
      <c r="I19" s="4"/>
    </row>
    <row r="20" spans="1:9" ht="15.75" hidden="1" thickBot="1" x14ac:dyDescent="0.3">
      <c r="A20" s="7" t="s">
        <v>41</v>
      </c>
      <c r="B20" s="4"/>
      <c r="C20" s="4"/>
      <c r="D20" s="4"/>
      <c r="E20" s="4"/>
      <c r="F20" s="4"/>
      <c r="G20" s="4"/>
      <c r="H20" s="4"/>
      <c r="I20" s="4"/>
    </row>
    <row r="21" spans="1:9" ht="38.25" hidden="1" customHeight="1" thickBot="1" x14ac:dyDescent="0.3">
      <c r="A21" s="421" t="s">
        <v>20</v>
      </c>
      <c r="B21" s="422"/>
      <c r="C21" s="422"/>
      <c r="D21" s="422"/>
      <c r="E21" s="422"/>
      <c r="F21" s="422"/>
      <c r="G21" s="422"/>
      <c r="H21" s="422"/>
      <c r="I21" s="423"/>
    </row>
    <row r="22" spans="1:9" ht="15.75" hidden="1" thickBot="1" x14ac:dyDescent="0.3">
      <c r="A22" s="7" t="s">
        <v>42</v>
      </c>
      <c r="B22" s="4"/>
      <c r="C22" s="4"/>
      <c r="D22" s="4"/>
      <c r="E22" s="4"/>
      <c r="F22" s="4"/>
      <c r="G22" s="4"/>
      <c r="H22" s="4"/>
      <c r="I22" s="4"/>
    </row>
    <row r="23" spans="1:9" ht="15.75" hidden="1" thickBot="1" x14ac:dyDescent="0.3">
      <c r="A23" s="7" t="s">
        <v>43</v>
      </c>
      <c r="B23" s="4"/>
      <c r="C23" s="4"/>
      <c r="D23" s="4"/>
      <c r="E23" s="4"/>
      <c r="F23" s="4"/>
      <c r="G23" s="4"/>
      <c r="H23" s="4"/>
      <c r="I23" s="4"/>
    </row>
    <row r="24" spans="1:9" ht="15.75" hidden="1" thickBot="1" x14ac:dyDescent="0.3">
      <c r="A24" s="414" t="s">
        <v>21</v>
      </c>
      <c r="B24" s="415"/>
      <c r="C24" s="415"/>
      <c r="D24" s="415"/>
      <c r="E24" s="415"/>
      <c r="F24" s="415"/>
      <c r="G24" s="415"/>
      <c r="H24" s="415"/>
      <c r="I24" s="416"/>
    </row>
    <row r="25" spans="1:9" ht="25.5" customHeight="1" thickBot="1" x14ac:dyDescent="0.3">
      <c r="A25" s="421" t="s">
        <v>109</v>
      </c>
      <c r="B25" s="422"/>
      <c r="C25" s="422"/>
      <c r="D25" s="422"/>
      <c r="E25" s="422"/>
      <c r="F25" s="422"/>
      <c r="G25" s="422"/>
      <c r="H25" s="422"/>
      <c r="I25" s="423"/>
    </row>
    <row r="26" spans="1:9" ht="90" thickBot="1" x14ac:dyDescent="0.3">
      <c r="A26" s="7" t="s">
        <v>44</v>
      </c>
      <c r="B26" s="4" t="str">
        <f>ИП18!B24</f>
        <v>Строительство  надземной  теплотрассы от ЦТП-2 в сторону школы №4 в мкр. АЗМР протяженностью 53,56 м.п. в четырехтрубном исполнении из стальных  труб в ППУ изоляции   Д-219 мм и Д-159 мм , взамен существующей подземной  теплотрассы от ЦТП-2  до жилого дома №3.</v>
      </c>
      <c r="C26" s="247">
        <v>2018</v>
      </c>
      <c r="D26" s="247">
        <v>2018</v>
      </c>
      <c r="E26" s="247">
        <v>2018</v>
      </c>
      <c r="F26" s="247">
        <v>2018</v>
      </c>
      <c r="G26" s="248">
        <f>ИП18!K24</f>
        <v>1832</v>
      </c>
      <c r="H26" s="248">
        <f>ROUND((652.25+649.75)*1.18,0)</f>
        <v>1536</v>
      </c>
      <c r="I26" s="248"/>
    </row>
    <row r="27" spans="1:9" ht="77.25" thickBot="1" x14ac:dyDescent="0.3">
      <c r="A27" s="7" t="s">
        <v>110</v>
      </c>
      <c r="B27" s="4" t="str">
        <f>ИП18!B25</f>
        <v>Строительство надземной теплотрассы от ж/д №7 по ул. Высоковольтной до ж/д №14 по ул. Боклевского в четырехтрубном исполнении протяженностью 125 м.п.(труба стальная в ППУ скорлупах, в оцинковнном кожухе, d 159,d 76, d 57)   (Спорткомплекс)</v>
      </c>
      <c r="C27" s="247">
        <v>2018</v>
      </c>
      <c r="D27" s="247">
        <v>2018</v>
      </c>
      <c r="E27" s="247">
        <v>2018</v>
      </c>
      <c r="F27" s="247">
        <v>2018</v>
      </c>
      <c r="G27" s="248">
        <f>ИП18!K25</f>
        <v>1932</v>
      </c>
      <c r="H27" s="248">
        <f>ROUND((814.06+810.94)*1.18,0)</f>
        <v>1918</v>
      </c>
      <c r="I27" s="248"/>
    </row>
    <row r="28" spans="1:9" ht="15.75" thickBot="1" x14ac:dyDescent="0.3">
      <c r="A28" s="411" t="s">
        <v>23</v>
      </c>
      <c r="B28" s="412"/>
      <c r="C28" s="412"/>
      <c r="D28" s="412"/>
      <c r="E28" s="412"/>
      <c r="F28" s="413"/>
      <c r="G28" s="248">
        <f>SUM(G26:G27)</f>
        <v>3764</v>
      </c>
      <c r="H28" s="248">
        <f>SUM(H26:H27)</f>
        <v>3454</v>
      </c>
      <c r="I28" s="248"/>
    </row>
    <row r="29" spans="1:9" ht="15.75" thickBot="1" x14ac:dyDescent="0.3">
      <c r="A29" s="414" t="s">
        <v>23</v>
      </c>
      <c r="B29" s="415"/>
      <c r="C29" s="415"/>
      <c r="D29" s="415"/>
      <c r="E29" s="415"/>
      <c r="F29" s="415"/>
      <c r="G29" s="415"/>
      <c r="H29" s="415"/>
      <c r="I29" s="416"/>
    </row>
    <row r="30" spans="1:9" ht="25.5" hidden="1" customHeight="1" thickBot="1" x14ac:dyDescent="0.3">
      <c r="A30" s="421" t="s">
        <v>24</v>
      </c>
      <c r="B30" s="422"/>
      <c r="C30" s="422"/>
      <c r="D30" s="422"/>
      <c r="E30" s="422"/>
      <c r="F30" s="422"/>
      <c r="G30" s="422"/>
      <c r="H30" s="422"/>
      <c r="I30" s="423"/>
    </row>
    <row r="31" spans="1:9" ht="15.75" hidden="1" thickBot="1" x14ac:dyDescent="0.3">
      <c r="A31" s="421" t="s">
        <v>25</v>
      </c>
      <c r="B31" s="422"/>
      <c r="C31" s="422"/>
      <c r="D31" s="422"/>
      <c r="E31" s="422"/>
      <c r="F31" s="422"/>
      <c r="G31" s="422"/>
      <c r="H31" s="422"/>
      <c r="I31" s="423"/>
    </row>
    <row r="32" spans="1:9" ht="15.75" hidden="1" thickBot="1" x14ac:dyDescent="0.3">
      <c r="A32" s="7" t="s">
        <v>45</v>
      </c>
      <c r="B32" s="4"/>
      <c r="C32" s="4"/>
      <c r="D32" s="4"/>
      <c r="E32" s="4"/>
      <c r="F32" s="4"/>
      <c r="G32" s="4"/>
      <c r="H32" s="4"/>
      <c r="I32" s="4"/>
    </row>
    <row r="33" spans="1:9" ht="15.75" hidden="1" thickBot="1" x14ac:dyDescent="0.3">
      <c r="A33" s="7" t="s">
        <v>111</v>
      </c>
      <c r="B33" s="4"/>
      <c r="C33" s="4"/>
      <c r="D33" s="4"/>
      <c r="E33" s="4"/>
      <c r="F33" s="4"/>
      <c r="G33" s="4"/>
      <c r="H33" s="4"/>
      <c r="I33" s="4"/>
    </row>
    <row r="34" spans="1:9" ht="25.5" hidden="1" customHeight="1" thickBot="1" x14ac:dyDescent="0.3">
      <c r="A34" s="421" t="s">
        <v>26</v>
      </c>
      <c r="B34" s="422"/>
      <c r="C34" s="422"/>
      <c r="D34" s="422"/>
      <c r="E34" s="422"/>
      <c r="F34" s="422"/>
      <c r="G34" s="422"/>
      <c r="H34" s="422"/>
      <c r="I34" s="423"/>
    </row>
    <row r="35" spans="1:9" ht="15.75" hidden="1" thickBot="1" x14ac:dyDescent="0.3">
      <c r="A35" s="7" t="s">
        <v>47</v>
      </c>
      <c r="B35" s="4"/>
      <c r="C35" s="4"/>
      <c r="D35" s="4"/>
      <c r="E35" s="4"/>
      <c r="F35" s="4"/>
      <c r="G35" s="4"/>
      <c r="H35" s="4"/>
      <c r="I35" s="4"/>
    </row>
    <row r="36" spans="1:9" ht="15.75" hidden="1" thickBot="1" x14ac:dyDescent="0.3">
      <c r="A36" s="7" t="s">
        <v>46</v>
      </c>
      <c r="B36" s="4"/>
      <c r="C36" s="4"/>
      <c r="D36" s="4"/>
      <c r="E36" s="4"/>
      <c r="F36" s="4"/>
      <c r="G36" s="4"/>
      <c r="H36" s="4"/>
      <c r="I36" s="4"/>
    </row>
    <row r="37" spans="1:9" ht="15.75" hidden="1" thickBot="1" x14ac:dyDescent="0.3">
      <c r="A37" s="414" t="s">
        <v>27</v>
      </c>
      <c r="B37" s="415"/>
      <c r="C37" s="415"/>
      <c r="D37" s="415"/>
      <c r="E37" s="415"/>
      <c r="F37" s="415"/>
      <c r="G37" s="415"/>
      <c r="H37" s="415"/>
      <c r="I37" s="416"/>
    </row>
    <row r="38" spans="1:9" ht="51" customHeight="1" thickBot="1" x14ac:dyDescent="0.3">
      <c r="A38" s="421" t="s">
        <v>28</v>
      </c>
      <c r="B38" s="422"/>
      <c r="C38" s="422"/>
      <c r="D38" s="422"/>
      <c r="E38" s="422"/>
      <c r="F38" s="422"/>
      <c r="G38" s="422"/>
      <c r="H38" s="422"/>
      <c r="I38" s="423"/>
    </row>
    <row r="39" spans="1:9" ht="26.25" thickBot="1" x14ac:dyDescent="0.3">
      <c r="A39" s="7" t="s">
        <v>48</v>
      </c>
      <c r="B39" s="4" t="str">
        <f>ИП18!B36</f>
        <v>Техническое перевооружение оборудованияч котельной в мкр. Заречный</v>
      </c>
      <c r="C39" s="247">
        <v>2018</v>
      </c>
      <c r="D39" s="247">
        <v>2018</v>
      </c>
      <c r="E39" s="247">
        <v>2018</v>
      </c>
      <c r="F39" s="247">
        <v>2018</v>
      </c>
      <c r="G39" s="247">
        <f>ИП18!M36</f>
        <v>4266</v>
      </c>
      <c r="H39" s="248">
        <f>ROUND((1811.1+1804.15)*1.18,0)</f>
        <v>4266</v>
      </c>
      <c r="I39" s="4"/>
    </row>
    <row r="40" spans="1:9" ht="77.25" thickBot="1" x14ac:dyDescent="0.3">
      <c r="A40" s="7" t="s">
        <v>112</v>
      </c>
      <c r="B40" s="4" t="str">
        <f>ИП18!B42</f>
        <v xml:space="preserve">Реконструкция  участка  наружной теплотрассы протяженностью 235 м.п. в 2-х трубном исполнении в г. Скопине, мкр. Заречный.
С заменой трубы Д-325 мм на Д-219 мм  в ППУ изоляции.
</v>
      </c>
      <c r="C40" s="247">
        <v>2018</v>
      </c>
      <c r="D40" s="247">
        <v>2018</v>
      </c>
      <c r="E40" s="247">
        <v>2018</v>
      </c>
      <c r="F40" s="247">
        <v>2018</v>
      </c>
      <c r="G40" s="248">
        <f>ИП18!M42</f>
        <v>2189</v>
      </c>
      <c r="H40" s="248">
        <f>ROUND((1058.03+1053.97)*1.18,0)</f>
        <v>2492</v>
      </c>
      <c r="I40" s="4"/>
    </row>
    <row r="41" spans="1:9" ht="90" thickBot="1" x14ac:dyDescent="0.3">
      <c r="A41" s="7" t="s">
        <v>347</v>
      </c>
      <c r="B41" s="4" t="str">
        <f>ИП18!B43</f>
        <v>Реконструкция  участка  теплотрассы в 2-х трубном исполнении, в ППУ изоляции протяженностью 139  м.п (. в том  числе:    50,5 м.п. подземная  трасса; наружная  теплотрасса-88,5 м.п.) Д159 от ЦТП №4 до жилого дома №271 по ул. К. Маркса в г. Скопине      Рязанской  области.</v>
      </c>
      <c r="C41" s="247">
        <v>2018</v>
      </c>
      <c r="D41" s="247">
        <v>2018</v>
      </c>
      <c r="E41" s="247">
        <v>2018</v>
      </c>
      <c r="F41" s="247">
        <v>2018</v>
      </c>
      <c r="G41" s="248">
        <f>ИП18!M43</f>
        <v>1226</v>
      </c>
      <c r="H41" s="248">
        <f>ROUND((528.01+525.99)*1.18,0)</f>
        <v>1244</v>
      </c>
      <c r="I41" s="4"/>
    </row>
    <row r="42" spans="1:9" ht="64.5" thickBot="1" x14ac:dyDescent="0.3">
      <c r="A42" s="7" t="s">
        <v>348</v>
      </c>
      <c r="B42" s="4" t="str">
        <f>ИП18!B44</f>
        <v>Реконструкция  участка  теплотрассы в 2-х трубном исполнении, в ППУ изоляции протяженностью 80  м.п Д273 мм от ТК 40 до ТК 41 в мкр. АЗМР г. Скопине      Рязанской  области.</v>
      </c>
      <c r="C42" s="247">
        <v>2018</v>
      </c>
      <c r="D42" s="247">
        <v>2018</v>
      </c>
      <c r="E42" s="247">
        <v>2018</v>
      </c>
      <c r="F42" s="247">
        <v>2018</v>
      </c>
      <c r="G42" s="248">
        <f>ИП18!M44</f>
        <v>1060</v>
      </c>
      <c r="H42" s="248">
        <f>ROUND((437.84+436.16)*1.18,0)</f>
        <v>1031</v>
      </c>
      <c r="I42" s="4"/>
    </row>
    <row r="43" spans="1:9" ht="51.75" thickBot="1" x14ac:dyDescent="0.3">
      <c r="A43" s="7" t="s">
        <v>349</v>
      </c>
      <c r="B43" s="4" t="str">
        <f>ИП18!B45</f>
        <v xml:space="preserve">Котельная в Автозаводском микрорайоне. Разработка и экспертиза проектной документации на техническое перевооружение кирпичной дымовой трубы </v>
      </c>
      <c r="C43" s="247">
        <v>2018</v>
      </c>
      <c r="D43" s="247">
        <v>2018</v>
      </c>
      <c r="E43" s="247">
        <v>2018</v>
      </c>
      <c r="F43" s="247">
        <v>2018</v>
      </c>
      <c r="G43" s="248">
        <f>ИП18!M45</f>
        <v>143</v>
      </c>
      <c r="H43" s="248">
        <f>ROUND((71.64+71.36)*1.18,0)</f>
        <v>169</v>
      </c>
      <c r="I43" s="4"/>
    </row>
    <row r="44" spans="1:9" ht="60" customHeight="1" thickBot="1" x14ac:dyDescent="0.3">
      <c r="A44" s="7" t="s">
        <v>350</v>
      </c>
      <c r="B44" s="4" t="str">
        <f>ИП18!B46</f>
        <v>Техническое перевооружение системы дымоудаления котельной по адресу г. Скопин мкр. Октябрьский ул. Заводская д. 2а</v>
      </c>
      <c r="C44" s="247">
        <v>2018</v>
      </c>
      <c r="D44" s="247">
        <v>2018</v>
      </c>
      <c r="E44" s="247">
        <v>2018</v>
      </c>
      <c r="F44" s="247">
        <v>2018</v>
      </c>
      <c r="G44" s="248">
        <f>ИП18!M46</f>
        <v>750</v>
      </c>
      <c r="H44" s="248">
        <f>ROUND((348.67+347.33)*1.18,0)</f>
        <v>821</v>
      </c>
      <c r="I44" s="4"/>
    </row>
    <row r="45" spans="1:9" ht="18" customHeight="1" thickBot="1" x14ac:dyDescent="0.3">
      <c r="A45" s="411" t="s">
        <v>29</v>
      </c>
      <c r="B45" s="412"/>
      <c r="C45" s="412"/>
      <c r="D45" s="412"/>
      <c r="E45" s="412"/>
      <c r="F45" s="412"/>
      <c r="G45" s="249">
        <f>SUM(G39:G44)</f>
        <v>9634</v>
      </c>
      <c r="H45" s="249">
        <f>SUM(H39:H44)</f>
        <v>10023</v>
      </c>
      <c r="I45" s="4"/>
    </row>
    <row r="46" spans="1:9" ht="15.75" thickBot="1" x14ac:dyDescent="0.3">
      <c r="A46" s="414" t="s">
        <v>29</v>
      </c>
      <c r="B46" s="415"/>
      <c r="C46" s="415"/>
      <c r="D46" s="415"/>
      <c r="E46" s="415"/>
      <c r="F46" s="415"/>
      <c r="G46" s="415"/>
      <c r="H46" s="415"/>
      <c r="I46" s="416"/>
    </row>
    <row r="47" spans="1:9" ht="25.5" hidden="1" customHeight="1" thickBot="1" x14ac:dyDescent="0.3">
      <c r="A47" s="421" t="s">
        <v>30</v>
      </c>
      <c r="B47" s="422"/>
      <c r="C47" s="422"/>
      <c r="D47" s="422"/>
      <c r="E47" s="422"/>
      <c r="F47" s="422"/>
      <c r="G47" s="422"/>
      <c r="H47" s="422"/>
      <c r="I47" s="423"/>
    </row>
    <row r="48" spans="1:9" ht="15.75" hidden="1" thickBot="1" x14ac:dyDescent="0.3">
      <c r="A48" s="421" t="s">
        <v>31</v>
      </c>
      <c r="B48" s="422"/>
      <c r="C48" s="422"/>
      <c r="D48" s="422"/>
      <c r="E48" s="422"/>
      <c r="F48" s="422"/>
      <c r="G48" s="422"/>
      <c r="H48" s="422"/>
      <c r="I48" s="423"/>
    </row>
    <row r="49" spans="1:9" ht="15.75" hidden="1" thickBot="1" x14ac:dyDescent="0.3">
      <c r="A49" s="7" t="s">
        <v>49</v>
      </c>
      <c r="B49" s="4"/>
      <c r="C49" s="4"/>
      <c r="D49" s="4"/>
      <c r="E49" s="4"/>
      <c r="F49" s="4"/>
      <c r="G49" s="4"/>
      <c r="H49" s="4"/>
      <c r="I49" s="4"/>
    </row>
    <row r="50" spans="1:9" ht="15.75" hidden="1" thickBot="1" x14ac:dyDescent="0.3">
      <c r="A50" s="7" t="s">
        <v>113</v>
      </c>
      <c r="B50" s="4"/>
      <c r="C50" s="4"/>
      <c r="D50" s="4"/>
      <c r="E50" s="4"/>
      <c r="F50" s="4"/>
      <c r="G50" s="4"/>
      <c r="H50" s="4"/>
      <c r="I50" s="4"/>
    </row>
    <row r="51" spans="1:9" ht="25.5" hidden="1" customHeight="1" thickBot="1" x14ac:dyDescent="0.3">
      <c r="A51" s="421" t="s">
        <v>32</v>
      </c>
      <c r="B51" s="422"/>
      <c r="C51" s="422"/>
      <c r="D51" s="422"/>
      <c r="E51" s="422"/>
      <c r="F51" s="422"/>
      <c r="G51" s="422"/>
      <c r="H51" s="422"/>
      <c r="I51" s="423"/>
    </row>
    <row r="52" spans="1:9" ht="15.75" hidden="1" thickBot="1" x14ac:dyDescent="0.3">
      <c r="A52" s="7" t="s">
        <v>51</v>
      </c>
      <c r="B52" s="4"/>
      <c r="C52" s="4"/>
      <c r="D52" s="4"/>
      <c r="E52" s="4"/>
      <c r="F52" s="4"/>
      <c r="G52" s="4"/>
      <c r="H52" s="4"/>
      <c r="I52" s="4"/>
    </row>
    <row r="53" spans="1:9" ht="15.75" hidden="1" thickBot="1" x14ac:dyDescent="0.3">
      <c r="A53" s="7" t="s">
        <v>50</v>
      </c>
      <c r="B53" s="4"/>
      <c r="C53" s="4"/>
      <c r="D53" s="4"/>
      <c r="E53" s="4"/>
      <c r="F53" s="4"/>
      <c r="G53" s="4"/>
      <c r="H53" s="4"/>
      <c r="I53" s="4"/>
    </row>
    <row r="54" spans="1:9" ht="15.75" hidden="1" thickBot="1" x14ac:dyDescent="0.3">
      <c r="A54" s="414" t="s">
        <v>33</v>
      </c>
      <c r="B54" s="415"/>
      <c r="C54" s="415"/>
      <c r="D54" s="415"/>
      <c r="E54" s="415"/>
      <c r="F54" s="415"/>
      <c r="G54" s="415"/>
      <c r="H54" s="415"/>
      <c r="I54" s="416"/>
    </row>
    <row r="55" spans="1:9" ht="15.75" thickBot="1" x14ac:dyDescent="0.3">
      <c r="A55" s="7"/>
      <c r="B55" s="4" t="s">
        <v>351</v>
      </c>
      <c r="C55" s="4"/>
      <c r="D55" s="4"/>
      <c r="E55" s="4"/>
      <c r="F55" s="4"/>
      <c r="G55" s="147">
        <f>G45+G28</f>
        <v>13398</v>
      </c>
      <c r="H55" s="147">
        <f>H45+H28</f>
        <v>13477</v>
      </c>
      <c r="I55" s="4"/>
    </row>
    <row r="57" spans="1:9" x14ac:dyDescent="0.25">
      <c r="H57" s="215"/>
    </row>
    <row r="58" spans="1:9" x14ac:dyDescent="0.25">
      <c r="A58" s="1"/>
    </row>
    <row r="59" spans="1:9" x14ac:dyDescent="0.25">
      <c r="A59" t="s">
        <v>114</v>
      </c>
      <c r="E59" t="s">
        <v>355</v>
      </c>
    </row>
    <row r="61" spans="1:9" x14ac:dyDescent="0.25">
      <c r="A61" t="s">
        <v>356</v>
      </c>
    </row>
  </sheetData>
  <mergeCells count="30">
    <mergeCell ref="A1:J1"/>
    <mergeCell ref="A3:I3"/>
    <mergeCell ref="A4:I4"/>
    <mergeCell ref="A6:I6"/>
    <mergeCell ref="A54:I54"/>
    <mergeCell ref="A25:I25"/>
    <mergeCell ref="A29:I29"/>
    <mergeCell ref="A30:I30"/>
    <mergeCell ref="A31:I31"/>
    <mergeCell ref="A34:I34"/>
    <mergeCell ref="A37:I37"/>
    <mergeCell ref="A38:I38"/>
    <mergeCell ref="A46:I46"/>
    <mergeCell ref="A47:I47"/>
    <mergeCell ref="A48:I48"/>
    <mergeCell ref="A51:I51"/>
    <mergeCell ref="A28:F28"/>
    <mergeCell ref="A45:F45"/>
    <mergeCell ref="A24:I24"/>
    <mergeCell ref="A8:A9"/>
    <mergeCell ref="B8:B9"/>
    <mergeCell ref="C8:D8"/>
    <mergeCell ref="E8:F8"/>
    <mergeCell ref="G8:H8"/>
    <mergeCell ref="I8:I9"/>
    <mergeCell ref="A11:I11"/>
    <mergeCell ref="A12:I12"/>
    <mergeCell ref="A15:I15"/>
    <mergeCell ref="A18:I18"/>
    <mergeCell ref="A21:I21"/>
  </mergeCells>
  <hyperlinks>
    <hyperlink ref="A24" location="Par979" tooltip="Группа 1. Строительство, реконструкция или модернизация объектов в целях подключения потребителей:" display="Par979"/>
    <hyperlink ref="A29" location="Par1057" tooltip="Группа 2. Строительство новых объектов системы централизованного теплоснабжения, не связанных с подключением новых потребителей, в том числе строительство новых" display="Par1057"/>
    <hyperlink ref="A37" location="Par1077" tooltip="Группа 3. Реконструкция или модернизация существующих объектов в целях снижения уровня износа существующих объектов и (или) поставки энергии от разных источников" display="Par1077"/>
    <hyperlink ref="A46" location="Par1117" tooltip="Группа 4. Мероприятия, направленные на снижение негативного воздействия на окружающую среду, достижение плановых значений показателей надежности и энергетической эффективности объектов теплоснабжения, повышение эффективности работы систем централизованног" display="Par1117"/>
    <hyperlink ref="A54" location="Par1137" tooltip="Группа 5. Вывод из эксплуатации, консервация и демонтаж объектов системы централизованного теплоснабжения" display="Par1137"/>
  </hyperlinks>
  <pageMargins left="0.24" right="0.23" top="0.33" bottom="0.34" header="0.31496062992125984" footer="0.31496062992125984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2"/>
  <sheetViews>
    <sheetView workbookViewId="0">
      <selection activeCell="B12" sqref="B12"/>
    </sheetView>
  </sheetViews>
  <sheetFormatPr defaultRowHeight="15" x14ac:dyDescent="0.25"/>
  <cols>
    <col min="1" max="1" width="4.85546875" customWidth="1"/>
    <col min="2" max="2" width="35.5703125" customWidth="1"/>
    <col min="6" max="6" width="12" customWidth="1"/>
    <col min="8" max="8" width="10.42578125" customWidth="1"/>
    <col min="10" max="10" width="12" customWidth="1"/>
  </cols>
  <sheetData>
    <row r="1" spans="1:12" x14ac:dyDescent="0.25">
      <c r="L1" s="8" t="s">
        <v>116</v>
      </c>
    </row>
    <row r="2" spans="1:12" x14ac:dyDescent="0.25">
      <c r="A2" t="s">
        <v>357</v>
      </c>
    </row>
    <row r="3" spans="1:12" ht="9.75" customHeight="1" x14ac:dyDescent="0.25">
      <c r="A3" t="s">
        <v>358</v>
      </c>
    </row>
    <row r="4" spans="1:12" ht="21" customHeight="1" x14ac:dyDescent="0.25">
      <c r="A4" s="426" t="s">
        <v>359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</row>
    <row r="5" spans="1:12" x14ac:dyDescent="0.25">
      <c r="A5" t="s">
        <v>360</v>
      </c>
    </row>
    <row r="6" spans="1:12" ht="15.75" thickBot="1" x14ac:dyDescent="0.3">
      <c r="A6" s="1"/>
    </row>
    <row r="7" spans="1:12" ht="15.75" thickBot="1" x14ac:dyDescent="0.3">
      <c r="A7" s="314" t="s">
        <v>0</v>
      </c>
      <c r="B7" s="314" t="s">
        <v>70</v>
      </c>
      <c r="C7" s="419" t="s">
        <v>69</v>
      </c>
      <c r="D7" s="427"/>
      <c r="E7" s="427"/>
      <c r="F7" s="420"/>
      <c r="G7" s="419" t="s">
        <v>71</v>
      </c>
      <c r="H7" s="427"/>
      <c r="I7" s="427"/>
      <c r="J7" s="427"/>
      <c r="K7" s="427"/>
      <c r="L7" s="420"/>
    </row>
    <row r="8" spans="1:12" ht="148.5" customHeight="1" thickBot="1" x14ac:dyDescent="0.3">
      <c r="A8" s="315"/>
      <c r="B8" s="315"/>
      <c r="C8" s="319" t="s">
        <v>72</v>
      </c>
      <c r="D8" s="428"/>
      <c r="E8" s="319" t="s">
        <v>73</v>
      </c>
      <c r="F8" s="428"/>
      <c r="G8" s="319" t="s">
        <v>74</v>
      </c>
      <c r="H8" s="428"/>
      <c r="I8" s="319" t="s">
        <v>75</v>
      </c>
      <c r="J8" s="428"/>
      <c r="K8" s="319" t="s">
        <v>76</v>
      </c>
      <c r="L8" s="428"/>
    </row>
    <row r="9" spans="1:12" ht="15.75" thickBot="1" x14ac:dyDescent="0.3">
      <c r="A9" s="316"/>
      <c r="B9" s="316"/>
      <c r="C9" s="2" t="s">
        <v>107</v>
      </c>
      <c r="D9" s="2" t="s">
        <v>108</v>
      </c>
      <c r="E9" s="2" t="s">
        <v>107</v>
      </c>
      <c r="F9" s="2" t="s">
        <v>108</v>
      </c>
      <c r="G9" s="2" t="s">
        <v>107</v>
      </c>
      <c r="H9" s="2" t="s">
        <v>108</v>
      </c>
      <c r="I9" s="2" t="s">
        <v>107</v>
      </c>
      <c r="J9" s="2" t="s">
        <v>108</v>
      </c>
      <c r="K9" s="2" t="s">
        <v>107</v>
      </c>
      <c r="L9" s="2" t="s">
        <v>108</v>
      </c>
    </row>
    <row r="10" spans="1:12" ht="15.75" thickBot="1" x14ac:dyDescent="0.3">
      <c r="A10" s="230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</row>
    <row r="11" spans="1:12" ht="106.5" customHeight="1" thickBot="1" x14ac:dyDescent="0.3">
      <c r="A11" s="4">
        <f>'[3]показатели надежности'!A11</f>
        <v>1</v>
      </c>
      <c r="B11" s="4" t="s">
        <v>366</v>
      </c>
      <c r="C11" s="251">
        <f>'[3]показатели надежности'!C11</f>
        <v>0</v>
      </c>
      <c r="D11" s="251">
        <f>'[3]показатели надежности'!D11</f>
        <v>0</v>
      </c>
      <c r="E11" s="4"/>
      <c r="F11" s="4"/>
      <c r="G11" s="251"/>
      <c r="H11" s="251"/>
      <c r="I11" s="251">
        <v>2.64</v>
      </c>
      <c r="J11" s="251">
        <v>2.64</v>
      </c>
      <c r="K11" s="251">
        <v>134.37</v>
      </c>
      <c r="L11" s="251">
        <v>134.37</v>
      </c>
    </row>
    <row r="12" spans="1:12" ht="103.5" customHeight="1" thickBot="1" x14ac:dyDescent="0.3">
      <c r="A12" s="4">
        <f>A11+1</f>
        <v>2</v>
      </c>
      <c r="B12" s="4" t="s">
        <v>367</v>
      </c>
      <c r="C12" s="251">
        <v>0</v>
      </c>
      <c r="D12" s="251">
        <v>0</v>
      </c>
      <c r="E12" s="4"/>
      <c r="F12" s="4"/>
      <c r="G12" s="251"/>
      <c r="H12" s="251"/>
      <c r="I12" s="251">
        <v>3.5539999999999998</v>
      </c>
      <c r="J12" s="251">
        <v>3.5539999999999998</v>
      </c>
      <c r="K12" s="251">
        <v>73.09</v>
      </c>
      <c r="L12" s="251">
        <v>73.09</v>
      </c>
    </row>
    <row r="13" spans="1:12" ht="82.5" customHeight="1" thickBot="1" x14ac:dyDescent="0.3">
      <c r="A13" s="4">
        <f t="shared" ref="A13:A15" si="0">A12+1</f>
        <v>3</v>
      </c>
      <c r="B13" s="4" t="s">
        <v>368</v>
      </c>
      <c r="C13" s="251">
        <v>0</v>
      </c>
      <c r="D13" s="251">
        <v>0</v>
      </c>
      <c r="E13" s="4"/>
      <c r="F13" s="4"/>
      <c r="G13" s="251"/>
      <c r="H13" s="251"/>
      <c r="I13" s="251">
        <v>1.56</v>
      </c>
      <c r="J13" s="251">
        <v>1.56</v>
      </c>
      <c r="K13" s="251">
        <v>363.28</v>
      </c>
      <c r="L13" s="251">
        <v>363.28</v>
      </c>
    </row>
    <row r="14" spans="1:12" ht="105.75" customHeight="1" thickBot="1" x14ac:dyDescent="0.3">
      <c r="A14" s="4">
        <f t="shared" si="0"/>
        <v>4</v>
      </c>
      <c r="B14" s="4" t="s">
        <v>369</v>
      </c>
      <c r="C14" s="251">
        <v>0</v>
      </c>
      <c r="D14" s="251">
        <v>0</v>
      </c>
      <c r="E14" s="4"/>
      <c r="F14" s="4"/>
      <c r="G14" s="251"/>
      <c r="H14" s="251"/>
      <c r="I14" s="251">
        <v>3.14</v>
      </c>
      <c r="J14" s="251">
        <v>3.14</v>
      </c>
      <c r="K14" s="251">
        <v>191.89</v>
      </c>
      <c r="L14" s="251">
        <v>191.89</v>
      </c>
    </row>
    <row r="15" spans="1:12" ht="67.5" customHeight="1" thickBot="1" x14ac:dyDescent="0.3">
      <c r="A15" s="4">
        <f t="shared" si="0"/>
        <v>5</v>
      </c>
      <c r="B15" s="4" t="s">
        <v>337</v>
      </c>
      <c r="C15" s="251">
        <v>0</v>
      </c>
      <c r="D15" s="251">
        <v>0</v>
      </c>
      <c r="E15" s="4"/>
      <c r="F15" s="4"/>
      <c r="G15" s="251"/>
      <c r="H15" s="251"/>
      <c r="I15" s="251">
        <v>1.57</v>
      </c>
      <c r="J15" s="251">
        <v>1.57</v>
      </c>
      <c r="K15" s="251">
        <v>132.32</v>
      </c>
      <c r="L15" s="251">
        <v>132.32</v>
      </c>
    </row>
    <row r="16" spans="1:12" ht="30.75" customHeight="1" x14ac:dyDescent="0.25">
      <c r="A16" s="1"/>
    </row>
    <row r="17" spans="1:3" x14ac:dyDescent="0.25">
      <c r="B17" t="s">
        <v>361</v>
      </c>
      <c r="C17" t="s">
        <v>362</v>
      </c>
    </row>
    <row r="19" spans="1:3" x14ac:dyDescent="0.25">
      <c r="B19" t="s">
        <v>363</v>
      </c>
    </row>
    <row r="20" spans="1:3" x14ac:dyDescent="0.25">
      <c r="B20" t="s">
        <v>364</v>
      </c>
    </row>
    <row r="21" spans="1:3" x14ac:dyDescent="0.25">
      <c r="B21" s="228" t="s">
        <v>365</v>
      </c>
    </row>
    <row r="22" spans="1:3" x14ac:dyDescent="0.25">
      <c r="A22" s="5"/>
    </row>
  </sheetData>
  <mergeCells count="10">
    <mergeCell ref="A4:L4"/>
    <mergeCell ref="A7:A9"/>
    <mergeCell ref="B7:B9"/>
    <mergeCell ref="C7:F7"/>
    <mergeCell ref="G7:L7"/>
    <mergeCell ref="C8:D8"/>
    <mergeCell ref="E8:F8"/>
    <mergeCell ref="G8:H8"/>
    <mergeCell ref="I8:J8"/>
    <mergeCell ref="K8:L8"/>
  </mergeCells>
  <hyperlinks>
    <hyperlink ref="B21" r:id="rId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64"/>
  <sheetViews>
    <sheetView topLeftCell="A41" zoomScale="69" zoomScaleNormal="69" workbookViewId="0">
      <selection activeCell="M25" sqref="M25"/>
    </sheetView>
  </sheetViews>
  <sheetFormatPr defaultRowHeight="15" outlineLevelRow="1" x14ac:dyDescent="0.25"/>
  <cols>
    <col min="1" max="1" width="6.42578125" style="165" customWidth="1"/>
    <col min="2" max="2" width="30.28515625" style="165" customWidth="1"/>
    <col min="3" max="3" width="20.140625" style="165" customWidth="1"/>
    <col min="4" max="4" width="10.7109375" style="175" customWidth="1"/>
    <col min="5" max="5" width="9" style="165" customWidth="1"/>
    <col min="6" max="6" width="4.85546875" style="165" customWidth="1"/>
    <col min="7" max="7" width="9.140625" style="165"/>
    <col min="8" max="8" width="15.85546875" style="165" customWidth="1"/>
    <col min="9" max="9" width="7.85546875" style="165" customWidth="1"/>
    <col min="10" max="10" width="7.42578125" style="165" customWidth="1"/>
    <col min="11" max="11" width="11.85546875" style="165" bestFit="1" customWidth="1"/>
    <col min="12" max="12" width="9.140625" style="165"/>
    <col min="13" max="13" width="11.7109375" style="165" customWidth="1"/>
    <col min="14" max="14" width="9.140625" style="165" hidden="1" customWidth="1"/>
    <col min="15" max="15" width="0.28515625" style="165" customWidth="1"/>
    <col min="16" max="16" width="8.28515625" style="165" customWidth="1"/>
    <col min="17" max="17" width="8.7109375" style="165" customWidth="1"/>
    <col min="18" max="18" width="0.140625" style="165" customWidth="1"/>
    <col min="19" max="16384" width="9.140625" style="165"/>
  </cols>
  <sheetData>
    <row r="1" spans="1:17" s="231" customFormat="1" x14ac:dyDescent="0.25">
      <c r="A1" s="429" t="s">
        <v>35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</row>
    <row r="2" spans="1:17" s="231" customFormat="1" x14ac:dyDescent="0.25">
      <c r="A2" s="429" t="s">
        <v>138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</row>
    <row r="3" spans="1:17" s="231" customFormat="1" x14ac:dyDescent="0.25">
      <c r="A3" s="429" t="s">
        <v>300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</row>
    <row r="4" spans="1:17" ht="15.75" thickBot="1" x14ac:dyDescent="0.3">
      <c r="A4" s="232"/>
    </row>
    <row r="5" spans="1:17" ht="15.75" customHeight="1" thickBot="1" x14ac:dyDescent="0.3">
      <c r="A5" s="430" t="s">
        <v>0</v>
      </c>
      <c r="B5" s="430" t="s">
        <v>1</v>
      </c>
      <c r="C5" s="430" t="s">
        <v>2</v>
      </c>
      <c r="D5" s="269" t="s">
        <v>3</v>
      </c>
      <c r="E5" s="434" t="s">
        <v>4</v>
      </c>
      <c r="F5" s="435"/>
      <c r="G5" s="435"/>
      <c r="H5" s="436"/>
      <c r="I5" s="430" t="s">
        <v>5</v>
      </c>
      <c r="J5" s="430" t="s">
        <v>6</v>
      </c>
      <c r="K5" s="434" t="s">
        <v>301</v>
      </c>
      <c r="L5" s="435"/>
      <c r="M5" s="435"/>
      <c r="N5" s="435"/>
      <c r="O5" s="435"/>
      <c r="P5" s="435"/>
      <c r="Q5" s="436"/>
    </row>
    <row r="6" spans="1:17" ht="15.75" customHeight="1" thickBot="1" x14ac:dyDescent="0.3">
      <c r="A6" s="431"/>
      <c r="B6" s="431"/>
      <c r="C6" s="431"/>
      <c r="D6" s="433"/>
      <c r="E6" s="430" t="s">
        <v>7</v>
      </c>
      <c r="F6" s="430" t="s">
        <v>8</v>
      </c>
      <c r="G6" s="434" t="s">
        <v>9</v>
      </c>
      <c r="H6" s="436"/>
      <c r="I6" s="431"/>
      <c r="J6" s="431"/>
      <c r="K6" s="269" t="s">
        <v>10</v>
      </c>
      <c r="L6" s="269" t="s">
        <v>302</v>
      </c>
      <c r="M6" s="437" t="s">
        <v>303</v>
      </c>
      <c r="N6" s="233"/>
      <c r="O6" s="202"/>
      <c r="P6" s="269" t="s">
        <v>12</v>
      </c>
      <c r="Q6" s="269" t="s">
        <v>13</v>
      </c>
    </row>
    <row r="7" spans="1:17" ht="64.5" thickBot="1" x14ac:dyDescent="0.3">
      <c r="A7" s="432"/>
      <c r="B7" s="432"/>
      <c r="C7" s="432"/>
      <c r="D7" s="270"/>
      <c r="E7" s="432"/>
      <c r="F7" s="432"/>
      <c r="G7" s="234" t="s">
        <v>14</v>
      </c>
      <c r="H7" s="234" t="s">
        <v>15</v>
      </c>
      <c r="I7" s="432"/>
      <c r="J7" s="432"/>
      <c r="K7" s="270"/>
      <c r="L7" s="270"/>
      <c r="M7" s="438"/>
      <c r="N7" s="193">
        <v>2019</v>
      </c>
      <c r="O7" s="193" t="s">
        <v>304</v>
      </c>
      <c r="P7" s="270"/>
      <c r="Q7" s="270"/>
    </row>
    <row r="8" spans="1:17" ht="15.75" thickBot="1" x14ac:dyDescent="0.3">
      <c r="A8" s="235">
        <v>1</v>
      </c>
      <c r="B8" s="234">
        <v>2</v>
      </c>
      <c r="C8" s="234">
        <v>3</v>
      </c>
      <c r="D8" s="193">
        <v>4</v>
      </c>
      <c r="E8" s="234">
        <v>5</v>
      </c>
      <c r="F8" s="234">
        <v>6</v>
      </c>
      <c r="G8" s="234">
        <v>7</v>
      </c>
      <c r="H8" s="234">
        <v>8</v>
      </c>
      <c r="I8" s="234">
        <v>9</v>
      </c>
      <c r="J8" s="234">
        <v>10</v>
      </c>
      <c r="K8" s="234">
        <v>11</v>
      </c>
      <c r="L8" s="234">
        <v>12</v>
      </c>
      <c r="M8" s="234">
        <v>13</v>
      </c>
      <c r="N8" s="234">
        <v>14</v>
      </c>
      <c r="O8" s="234">
        <v>15</v>
      </c>
      <c r="P8" s="234">
        <v>15</v>
      </c>
      <c r="Q8" s="234">
        <v>16</v>
      </c>
    </row>
    <row r="9" spans="1:17" ht="15.75" hidden="1" customHeight="1" thickBot="1" x14ac:dyDescent="0.3">
      <c r="A9" s="442" t="s">
        <v>16</v>
      </c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4"/>
    </row>
    <row r="10" spans="1:17" ht="15.75" hidden="1" customHeight="1" thickBot="1" x14ac:dyDescent="0.3">
      <c r="A10" s="442" t="s">
        <v>17</v>
      </c>
      <c r="B10" s="443"/>
      <c r="C10" s="443"/>
      <c r="D10" s="443"/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4"/>
    </row>
    <row r="11" spans="1:17" ht="15.75" hidden="1" thickBot="1" x14ac:dyDescent="0.3">
      <c r="A11" s="236" t="s">
        <v>36</v>
      </c>
      <c r="B11" s="237"/>
      <c r="C11" s="237"/>
      <c r="D11" s="193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</row>
    <row r="12" spans="1:17" ht="15.75" hidden="1" thickBot="1" x14ac:dyDescent="0.3">
      <c r="A12" s="236" t="s">
        <v>37</v>
      </c>
      <c r="B12" s="237"/>
      <c r="C12" s="237"/>
      <c r="D12" s="193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</row>
    <row r="13" spans="1:17" ht="15.75" hidden="1" customHeight="1" thickBot="1" x14ac:dyDescent="0.3">
      <c r="A13" s="442" t="s">
        <v>18</v>
      </c>
      <c r="B13" s="443"/>
      <c r="C13" s="443"/>
      <c r="D13" s="443"/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4"/>
    </row>
    <row r="14" spans="1:17" ht="15.75" hidden="1" thickBot="1" x14ac:dyDescent="0.3">
      <c r="A14" s="236" t="s">
        <v>38</v>
      </c>
      <c r="B14" s="237"/>
      <c r="C14" s="237"/>
      <c r="D14" s="193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</row>
    <row r="15" spans="1:17" ht="15.75" hidden="1" thickBot="1" x14ac:dyDescent="0.3">
      <c r="A15" s="236" t="s">
        <v>39</v>
      </c>
      <c r="B15" s="237"/>
      <c r="C15" s="237"/>
      <c r="D15" s="193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</row>
    <row r="16" spans="1:17" ht="15.75" hidden="1" customHeight="1" thickBot="1" x14ac:dyDescent="0.3">
      <c r="A16" s="442" t="s">
        <v>19</v>
      </c>
      <c r="B16" s="443"/>
      <c r="C16" s="443"/>
      <c r="D16" s="443"/>
      <c r="E16" s="443"/>
      <c r="F16" s="443"/>
      <c r="G16" s="443"/>
      <c r="H16" s="443"/>
      <c r="I16" s="443"/>
      <c r="J16" s="443"/>
      <c r="K16" s="443"/>
      <c r="L16" s="443"/>
      <c r="M16" s="443"/>
      <c r="N16" s="443"/>
      <c r="O16" s="443"/>
      <c r="P16" s="443"/>
      <c r="Q16" s="444"/>
    </row>
    <row r="17" spans="1:19" ht="15.75" hidden="1" thickBot="1" x14ac:dyDescent="0.3">
      <c r="A17" s="236" t="s">
        <v>40</v>
      </c>
      <c r="B17" s="237"/>
      <c r="C17" s="237"/>
      <c r="D17" s="193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</row>
    <row r="18" spans="1:19" ht="15.75" hidden="1" thickBot="1" x14ac:dyDescent="0.3">
      <c r="A18" s="236" t="s">
        <v>41</v>
      </c>
      <c r="B18" s="237"/>
      <c r="C18" s="237"/>
      <c r="D18" s="193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</row>
    <row r="19" spans="1:19" ht="25.5" hidden="1" customHeight="1" x14ac:dyDescent="0.25">
      <c r="A19" s="442" t="s">
        <v>20</v>
      </c>
      <c r="B19" s="443"/>
      <c r="C19" s="443"/>
      <c r="D19" s="443"/>
      <c r="E19" s="443"/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4"/>
    </row>
    <row r="20" spans="1:19" ht="15.75" hidden="1" thickBot="1" x14ac:dyDescent="0.3">
      <c r="A20" s="236" t="s">
        <v>42</v>
      </c>
      <c r="B20" s="237"/>
      <c r="C20" s="237"/>
      <c r="D20" s="193"/>
      <c r="E20" s="237"/>
      <c r="F20" s="237"/>
      <c r="G20" s="237"/>
      <c r="H20" s="237"/>
      <c r="I20" s="237"/>
      <c r="J20" s="237"/>
      <c r="K20" s="237"/>
      <c r="L20" s="237"/>
      <c r="M20" s="237"/>
      <c r="N20" s="237"/>
      <c r="O20" s="237"/>
      <c r="P20" s="237"/>
      <c r="Q20" s="237"/>
    </row>
    <row r="21" spans="1:19" ht="15.75" hidden="1" thickBot="1" x14ac:dyDescent="0.3">
      <c r="A21" s="236" t="s">
        <v>43</v>
      </c>
      <c r="B21" s="237"/>
      <c r="C21" s="237"/>
      <c r="D21" s="193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</row>
    <row r="22" spans="1:19" ht="15.75" hidden="1" thickBot="1" x14ac:dyDescent="0.3">
      <c r="A22" s="439" t="s">
        <v>21</v>
      </c>
      <c r="B22" s="440"/>
      <c r="C22" s="440"/>
      <c r="D22" s="440"/>
      <c r="E22" s="440"/>
      <c r="F22" s="440"/>
      <c r="G22" s="440"/>
      <c r="H22" s="440"/>
      <c r="I22" s="440"/>
      <c r="J22" s="441"/>
      <c r="K22" s="237"/>
      <c r="L22" s="237"/>
      <c r="M22" s="237"/>
      <c r="N22" s="237"/>
      <c r="O22" s="237"/>
      <c r="P22" s="237"/>
      <c r="Q22" s="237"/>
    </row>
    <row r="23" spans="1:19" ht="25.5" customHeight="1" thickBot="1" x14ac:dyDescent="0.3">
      <c r="A23" s="442" t="s">
        <v>22</v>
      </c>
      <c r="B23" s="443"/>
      <c r="C23" s="443"/>
      <c r="D23" s="443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4"/>
    </row>
    <row r="24" spans="1:19" ht="153.75" customHeight="1" thickBot="1" x14ac:dyDescent="0.3">
      <c r="A24" s="236" t="s">
        <v>95</v>
      </c>
      <c r="B24" s="237" t="s">
        <v>305</v>
      </c>
      <c r="C24" s="237" t="s">
        <v>306</v>
      </c>
      <c r="D24" s="193" t="s">
        <v>307</v>
      </c>
      <c r="E24" s="192" t="s">
        <v>140</v>
      </c>
      <c r="F24" s="193" t="s">
        <v>141</v>
      </c>
      <c r="G24" s="192" t="s">
        <v>308</v>
      </c>
      <c r="H24" s="193" t="s">
        <v>309</v>
      </c>
      <c r="I24" s="192">
        <v>2018</v>
      </c>
      <c r="J24" s="192">
        <v>2018</v>
      </c>
      <c r="K24" s="195">
        <v>1832</v>
      </c>
      <c r="L24" s="193"/>
      <c r="M24" s="195">
        <v>1832</v>
      </c>
      <c r="N24" s="234"/>
      <c r="O24" s="237"/>
      <c r="P24" s="193"/>
      <c r="Q24" s="237"/>
      <c r="R24" s="195">
        <v>1849</v>
      </c>
      <c r="S24" s="238"/>
    </row>
    <row r="25" spans="1:19" ht="130.5" customHeight="1" thickBot="1" x14ac:dyDescent="0.3">
      <c r="A25" s="236" t="s">
        <v>97</v>
      </c>
      <c r="B25" s="237" t="s">
        <v>310</v>
      </c>
      <c r="C25" s="237" t="s">
        <v>311</v>
      </c>
      <c r="D25" s="193" t="s">
        <v>312</v>
      </c>
      <c r="E25" s="192" t="s">
        <v>140</v>
      </c>
      <c r="F25" s="192" t="s">
        <v>141</v>
      </c>
      <c r="G25" s="192" t="s">
        <v>233</v>
      </c>
      <c r="H25" s="192" t="s">
        <v>313</v>
      </c>
      <c r="I25" s="192">
        <v>2018</v>
      </c>
      <c r="J25" s="192">
        <v>2018</v>
      </c>
      <c r="K25" s="195">
        <v>1932</v>
      </c>
      <c r="L25" s="193"/>
      <c r="M25" s="195">
        <v>1932</v>
      </c>
      <c r="N25" s="234"/>
      <c r="O25" s="237"/>
      <c r="P25" s="193"/>
      <c r="Q25" s="237"/>
      <c r="R25" s="195">
        <v>2314</v>
      </c>
      <c r="S25" s="238"/>
    </row>
    <row r="26" spans="1:19" ht="21" customHeight="1" thickBot="1" x14ac:dyDescent="0.3">
      <c r="A26" s="439" t="s">
        <v>23</v>
      </c>
      <c r="B26" s="440"/>
      <c r="C26" s="440"/>
      <c r="D26" s="440"/>
      <c r="E26" s="440"/>
      <c r="F26" s="440"/>
      <c r="G26" s="440"/>
      <c r="H26" s="440"/>
      <c r="I26" s="440"/>
      <c r="J26" s="441"/>
      <c r="K26" s="195">
        <f>SUM(K24:K25)</f>
        <v>3764</v>
      </c>
      <c r="L26" s="195"/>
      <c r="M26" s="195">
        <f>SUM(M24:M25)</f>
        <v>3764</v>
      </c>
      <c r="N26" s="195">
        <f>SUM(N24:N25)</f>
        <v>0</v>
      </c>
      <c r="O26" s="195">
        <f>SUM(O24:O25)</f>
        <v>0</v>
      </c>
      <c r="P26" s="195"/>
      <c r="Q26" s="237"/>
      <c r="R26" s="195">
        <f>SUM(R24:R25)</f>
        <v>4163</v>
      </c>
    </row>
    <row r="27" spans="1:19" ht="15.75" thickBot="1" x14ac:dyDescent="0.3">
      <c r="A27" s="442" t="s">
        <v>24</v>
      </c>
      <c r="B27" s="443"/>
      <c r="C27" s="443"/>
      <c r="D27" s="443"/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4"/>
    </row>
    <row r="28" spans="1:19" ht="15.75" hidden="1" outlineLevel="1" thickBot="1" x14ac:dyDescent="0.3">
      <c r="A28" s="442" t="s">
        <v>25</v>
      </c>
      <c r="B28" s="443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4"/>
    </row>
    <row r="29" spans="1:19" ht="97.5" hidden="1" customHeight="1" outlineLevel="1" x14ac:dyDescent="0.25">
      <c r="A29" s="236" t="s">
        <v>45</v>
      </c>
      <c r="B29" s="237"/>
      <c r="C29" s="237"/>
      <c r="D29" s="193"/>
      <c r="E29" s="237"/>
      <c r="F29" s="237"/>
      <c r="G29" s="237"/>
      <c r="H29" s="237"/>
      <c r="I29" s="234"/>
      <c r="J29" s="234"/>
      <c r="K29" s="234"/>
      <c r="L29" s="237"/>
      <c r="M29" s="234"/>
      <c r="N29" s="234"/>
      <c r="O29" s="237"/>
      <c r="P29" s="237"/>
      <c r="Q29" s="237"/>
    </row>
    <row r="30" spans="1:19" ht="94.5" hidden="1" customHeight="1" outlineLevel="1" x14ac:dyDescent="0.25">
      <c r="A30" s="236" t="s">
        <v>46</v>
      </c>
      <c r="B30" s="237"/>
      <c r="C30" s="237"/>
      <c r="D30" s="193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</row>
    <row r="31" spans="1:19" ht="15.75" hidden="1" outlineLevel="1" thickBot="1" x14ac:dyDescent="0.3">
      <c r="A31" s="442" t="s">
        <v>26</v>
      </c>
      <c r="B31" s="443"/>
      <c r="C31" s="443"/>
      <c r="D31" s="443"/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4"/>
    </row>
    <row r="32" spans="1:19" ht="15.75" hidden="1" outlineLevel="1" thickBot="1" x14ac:dyDescent="0.3">
      <c r="A32" s="236" t="s">
        <v>47</v>
      </c>
      <c r="B32" s="237"/>
      <c r="C32" s="237"/>
      <c r="D32" s="193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</row>
    <row r="33" spans="1:19" ht="15.75" hidden="1" outlineLevel="1" thickBot="1" x14ac:dyDescent="0.3">
      <c r="A33" s="236" t="s">
        <v>46</v>
      </c>
      <c r="B33" s="237"/>
      <c r="C33" s="237"/>
      <c r="D33" s="193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</row>
    <row r="34" spans="1:19" ht="15.75" hidden="1" outlineLevel="1" thickBot="1" x14ac:dyDescent="0.3">
      <c r="A34" s="439" t="s">
        <v>27</v>
      </c>
      <c r="B34" s="440"/>
      <c r="C34" s="440"/>
      <c r="D34" s="440"/>
      <c r="E34" s="440"/>
      <c r="F34" s="440"/>
      <c r="G34" s="440"/>
      <c r="H34" s="440"/>
      <c r="I34" s="440"/>
      <c r="J34" s="441"/>
      <c r="K34" s="237"/>
      <c r="L34" s="237"/>
      <c r="M34" s="237"/>
      <c r="N34" s="237"/>
      <c r="O34" s="237"/>
      <c r="P34" s="237"/>
      <c r="Q34" s="237"/>
    </row>
    <row r="35" spans="1:19" ht="30.75" customHeight="1" collapsed="1" thickBot="1" x14ac:dyDescent="0.3">
      <c r="A35" s="442" t="s">
        <v>28</v>
      </c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  <c r="N35" s="443"/>
      <c r="O35" s="443"/>
      <c r="P35" s="443"/>
      <c r="Q35" s="444"/>
    </row>
    <row r="36" spans="1:19" ht="90" thickBot="1" x14ac:dyDescent="0.3">
      <c r="A36" s="445" t="s">
        <v>154</v>
      </c>
      <c r="B36" s="269" t="s">
        <v>314</v>
      </c>
      <c r="C36" s="269" t="s">
        <v>142</v>
      </c>
      <c r="D36" s="269" t="s">
        <v>315</v>
      </c>
      <c r="E36" s="203" t="s">
        <v>316</v>
      </c>
      <c r="F36" s="203" t="s">
        <v>317</v>
      </c>
      <c r="G36" s="203" t="s">
        <v>318</v>
      </c>
      <c r="H36" s="203" t="s">
        <v>319</v>
      </c>
      <c r="I36" s="269">
        <v>2018</v>
      </c>
      <c r="J36" s="269">
        <v>2018</v>
      </c>
      <c r="K36" s="269">
        <f>9271</f>
        <v>9271</v>
      </c>
      <c r="L36" s="269">
        <v>5005</v>
      </c>
      <c r="M36" s="269">
        <v>4266</v>
      </c>
      <c r="N36" s="269"/>
      <c r="O36" s="269"/>
      <c r="P36" s="269"/>
      <c r="Q36" s="269"/>
      <c r="R36" s="195">
        <v>4266</v>
      </c>
    </row>
    <row r="37" spans="1:19" ht="64.5" thickBot="1" x14ac:dyDescent="0.3">
      <c r="A37" s="446"/>
      <c r="B37" s="433"/>
      <c r="C37" s="433"/>
      <c r="D37" s="433"/>
      <c r="E37" s="193" t="s">
        <v>320</v>
      </c>
      <c r="F37" s="193" t="s">
        <v>317</v>
      </c>
      <c r="G37" s="193" t="s">
        <v>321</v>
      </c>
      <c r="H37" s="193" t="s">
        <v>322</v>
      </c>
      <c r="I37" s="433"/>
      <c r="J37" s="433"/>
      <c r="K37" s="433"/>
      <c r="L37" s="433"/>
      <c r="M37" s="433"/>
      <c r="N37" s="433"/>
      <c r="O37" s="433"/>
      <c r="P37" s="433"/>
      <c r="Q37" s="433"/>
      <c r="R37" s="195"/>
    </row>
    <row r="38" spans="1:19" ht="39" thickBot="1" x14ac:dyDescent="0.3">
      <c r="A38" s="446"/>
      <c r="B38" s="433"/>
      <c r="C38" s="433"/>
      <c r="D38" s="433"/>
      <c r="E38" s="193" t="s">
        <v>323</v>
      </c>
      <c r="F38" s="193" t="s">
        <v>317</v>
      </c>
      <c r="G38" s="193" t="s">
        <v>324</v>
      </c>
      <c r="H38" s="193" t="s">
        <v>325</v>
      </c>
      <c r="I38" s="433"/>
      <c r="J38" s="433"/>
      <c r="K38" s="433"/>
      <c r="L38" s="433"/>
      <c r="M38" s="433"/>
      <c r="N38" s="433"/>
      <c r="O38" s="433"/>
      <c r="P38" s="433"/>
      <c r="Q38" s="433"/>
      <c r="R38" s="195"/>
    </row>
    <row r="39" spans="1:19" ht="77.25" thickBot="1" x14ac:dyDescent="0.3">
      <c r="A39" s="446"/>
      <c r="B39" s="433"/>
      <c r="C39" s="433"/>
      <c r="D39" s="433"/>
      <c r="E39" s="193" t="s">
        <v>326</v>
      </c>
      <c r="F39" s="193" t="s">
        <v>327</v>
      </c>
      <c r="G39" s="193" t="s">
        <v>324</v>
      </c>
      <c r="H39" s="193" t="s">
        <v>328</v>
      </c>
      <c r="I39" s="433"/>
      <c r="J39" s="433"/>
      <c r="K39" s="433"/>
      <c r="L39" s="433"/>
      <c r="M39" s="433"/>
      <c r="N39" s="433"/>
      <c r="O39" s="433"/>
      <c r="P39" s="433"/>
      <c r="Q39" s="433"/>
      <c r="R39" s="195"/>
    </row>
    <row r="40" spans="1:19" ht="90" thickBot="1" x14ac:dyDescent="0.3">
      <c r="A40" s="446"/>
      <c r="B40" s="433"/>
      <c r="C40" s="433"/>
      <c r="D40" s="433"/>
      <c r="E40" s="193" t="s">
        <v>329</v>
      </c>
      <c r="F40" s="193" t="s">
        <v>317</v>
      </c>
      <c r="G40" s="193" t="s">
        <v>330</v>
      </c>
      <c r="H40" s="193" t="s">
        <v>331</v>
      </c>
      <c r="I40" s="433"/>
      <c r="J40" s="433"/>
      <c r="K40" s="433"/>
      <c r="L40" s="433"/>
      <c r="M40" s="433"/>
      <c r="N40" s="433"/>
      <c r="O40" s="433"/>
      <c r="P40" s="433"/>
      <c r="Q40" s="433"/>
      <c r="R40" s="195"/>
    </row>
    <row r="41" spans="1:19" ht="51.75" thickBot="1" x14ac:dyDescent="0.3">
      <c r="A41" s="447"/>
      <c r="B41" s="270"/>
      <c r="C41" s="270"/>
      <c r="D41" s="270"/>
      <c r="E41" s="193" t="s">
        <v>332</v>
      </c>
      <c r="F41" s="193" t="s">
        <v>327</v>
      </c>
      <c r="G41" s="193" t="s">
        <v>324</v>
      </c>
      <c r="H41" s="193" t="s">
        <v>333</v>
      </c>
      <c r="I41" s="270"/>
      <c r="J41" s="270"/>
      <c r="K41" s="270"/>
      <c r="L41" s="270"/>
      <c r="M41" s="270"/>
      <c r="N41" s="270"/>
      <c r="O41" s="270"/>
      <c r="P41" s="270"/>
      <c r="Q41" s="270"/>
      <c r="R41" s="195"/>
    </row>
    <row r="42" spans="1:19" ht="97.5" customHeight="1" thickBot="1" x14ac:dyDescent="0.3">
      <c r="A42" s="236" t="s">
        <v>155</v>
      </c>
      <c r="B42" s="237" t="s">
        <v>334</v>
      </c>
      <c r="C42" s="237" t="s">
        <v>139</v>
      </c>
      <c r="D42" s="193" t="s">
        <v>315</v>
      </c>
      <c r="E42" s="192" t="s">
        <v>140</v>
      </c>
      <c r="F42" s="192" t="s">
        <v>141</v>
      </c>
      <c r="G42" s="193">
        <v>325</v>
      </c>
      <c r="H42" s="193">
        <v>219</v>
      </c>
      <c r="I42" s="193">
        <v>2018</v>
      </c>
      <c r="J42" s="193">
        <v>2018</v>
      </c>
      <c r="K42" s="195">
        <v>2189</v>
      </c>
      <c r="L42" s="193"/>
      <c r="M42" s="195">
        <v>2189</v>
      </c>
      <c r="N42" s="234"/>
      <c r="O42" s="237"/>
      <c r="P42" s="193"/>
      <c r="Q42" s="237"/>
      <c r="R42" s="195">
        <v>2473</v>
      </c>
      <c r="S42" s="238"/>
    </row>
    <row r="43" spans="1:19" ht="138.75" customHeight="1" thickBot="1" x14ac:dyDescent="0.3">
      <c r="A43" s="239" t="s">
        <v>156</v>
      </c>
      <c r="B43" s="240" t="s">
        <v>335</v>
      </c>
      <c r="C43" s="237" t="s">
        <v>311</v>
      </c>
      <c r="D43" s="193" t="s">
        <v>336</v>
      </c>
      <c r="E43" s="192" t="s">
        <v>140</v>
      </c>
      <c r="F43" s="192" t="s">
        <v>141</v>
      </c>
      <c r="G43" s="193">
        <v>325</v>
      </c>
      <c r="H43" s="193">
        <v>159</v>
      </c>
      <c r="I43" s="192">
        <v>2018</v>
      </c>
      <c r="J43" s="192">
        <v>2018</v>
      </c>
      <c r="K43" s="195">
        <v>1226</v>
      </c>
      <c r="L43" s="193"/>
      <c r="M43" s="195">
        <v>1226</v>
      </c>
      <c r="N43" s="234"/>
      <c r="O43" s="237"/>
      <c r="P43" s="193"/>
      <c r="Q43" s="237"/>
      <c r="R43" s="195"/>
      <c r="S43" s="238"/>
    </row>
    <row r="44" spans="1:19" ht="90" thickBot="1" x14ac:dyDescent="0.3">
      <c r="A44" s="236" t="s">
        <v>234</v>
      </c>
      <c r="B44" s="240" t="s">
        <v>337</v>
      </c>
      <c r="C44" s="237" t="s">
        <v>311</v>
      </c>
      <c r="D44" s="193" t="s">
        <v>235</v>
      </c>
      <c r="E44" s="192" t="s">
        <v>140</v>
      </c>
      <c r="F44" s="192" t="s">
        <v>141</v>
      </c>
      <c r="G44" s="193">
        <v>325</v>
      </c>
      <c r="H44" s="193">
        <v>273</v>
      </c>
      <c r="I44" s="192">
        <v>2018</v>
      </c>
      <c r="J44" s="192">
        <v>2018</v>
      </c>
      <c r="K44" s="195">
        <v>1060</v>
      </c>
      <c r="L44" s="193"/>
      <c r="M44" s="195">
        <v>1060</v>
      </c>
      <c r="N44" s="234"/>
      <c r="O44" s="237"/>
      <c r="P44" s="193"/>
      <c r="Q44" s="237"/>
      <c r="R44" s="195"/>
      <c r="S44" s="238"/>
    </row>
    <row r="45" spans="1:19" ht="88.5" customHeight="1" thickBot="1" x14ac:dyDescent="0.3">
      <c r="A45" s="236" t="s">
        <v>251</v>
      </c>
      <c r="B45" s="241" t="s">
        <v>338</v>
      </c>
      <c r="C45" s="192" t="s">
        <v>339</v>
      </c>
      <c r="D45" s="193" t="s">
        <v>235</v>
      </c>
      <c r="E45" s="193"/>
      <c r="F45" s="193"/>
      <c r="G45" s="193"/>
      <c r="H45" s="193"/>
      <c r="I45" s="193">
        <v>2018</v>
      </c>
      <c r="J45" s="193">
        <v>2018</v>
      </c>
      <c r="K45" s="193">
        <v>143</v>
      </c>
      <c r="L45" s="193"/>
      <c r="M45" s="242">
        <v>143</v>
      </c>
      <c r="N45" s="243"/>
      <c r="O45" s="237"/>
      <c r="P45" s="192"/>
      <c r="Q45" s="237"/>
      <c r="R45" s="242"/>
      <c r="S45" s="238"/>
    </row>
    <row r="46" spans="1:19" ht="88.5" customHeight="1" thickBot="1" x14ac:dyDescent="0.3">
      <c r="A46" s="236" t="s">
        <v>252</v>
      </c>
      <c r="B46" s="241" t="s">
        <v>340</v>
      </c>
      <c r="C46" s="192" t="s">
        <v>341</v>
      </c>
      <c r="D46" s="193" t="s">
        <v>235</v>
      </c>
      <c r="E46" s="193" t="s">
        <v>342</v>
      </c>
      <c r="F46" s="193" t="s">
        <v>343</v>
      </c>
      <c r="G46" s="193">
        <v>35</v>
      </c>
      <c r="H46" s="193">
        <v>22</v>
      </c>
      <c r="I46" s="193">
        <v>2018</v>
      </c>
      <c r="J46" s="193">
        <v>2018</v>
      </c>
      <c r="K46" s="193">
        <v>750</v>
      </c>
      <c r="L46" s="193"/>
      <c r="M46" s="242">
        <v>750</v>
      </c>
      <c r="N46" s="243"/>
      <c r="O46" s="237"/>
      <c r="P46" s="237"/>
      <c r="Q46" s="237"/>
      <c r="R46" s="242">
        <v>2300</v>
      </c>
      <c r="S46" s="238"/>
    </row>
    <row r="47" spans="1:19" ht="15.75" thickBot="1" x14ac:dyDescent="0.3">
      <c r="A47" s="439" t="s">
        <v>29</v>
      </c>
      <c r="B47" s="440"/>
      <c r="C47" s="440"/>
      <c r="D47" s="440"/>
      <c r="E47" s="440"/>
      <c r="F47" s="440"/>
      <c r="G47" s="440"/>
      <c r="H47" s="440"/>
      <c r="I47" s="440"/>
      <c r="J47" s="441"/>
      <c r="K47" s="244">
        <f>SUM(K36:K46)</f>
        <v>14639</v>
      </c>
      <c r="L47" s="244"/>
      <c r="M47" s="244">
        <f>SUM(M36:M46)</f>
        <v>9634</v>
      </c>
      <c r="N47" s="244">
        <f t="shared" ref="N47:O47" si="0">SUM(N42:N45)</f>
        <v>0</v>
      </c>
      <c r="O47" s="244">
        <f t="shared" si="0"/>
        <v>0</v>
      </c>
      <c r="P47" s="244"/>
      <c r="Q47" s="237"/>
      <c r="R47" s="244">
        <f>SUM(R42:R46)</f>
        <v>4773</v>
      </c>
      <c r="S47" s="238"/>
    </row>
    <row r="48" spans="1:19" ht="15.75" hidden="1" thickBot="1" x14ac:dyDescent="0.3">
      <c r="A48" s="442" t="s">
        <v>30</v>
      </c>
      <c r="B48" s="443"/>
      <c r="C48" s="443"/>
      <c r="D48" s="443"/>
      <c r="E48" s="443"/>
      <c r="F48" s="443"/>
      <c r="G48" s="443"/>
      <c r="H48" s="443"/>
      <c r="I48" s="443"/>
      <c r="J48" s="443"/>
      <c r="K48" s="443"/>
      <c r="L48" s="443"/>
      <c r="M48" s="443"/>
      <c r="N48" s="443"/>
      <c r="O48" s="443"/>
      <c r="P48" s="443"/>
      <c r="Q48" s="444"/>
    </row>
    <row r="49" spans="1:18" ht="15.75" hidden="1" customHeight="1" thickBot="1" x14ac:dyDescent="0.3">
      <c r="A49" s="442" t="s">
        <v>31</v>
      </c>
      <c r="B49" s="443"/>
      <c r="C49" s="443"/>
      <c r="D49" s="443"/>
      <c r="E49" s="443"/>
      <c r="F49" s="443"/>
      <c r="G49" s="443"/>
      <c r="H49" s="443"/>
      <c r="I49" s="443"/>
      <c r="J49" s="443"/>
      <c r="K49" s="443"/>
      <c r="L49" s="443"/>
      <c r="M49" s="443"/>
      <c r="N49" s="443"/>
      <c r="O49" s="443"/>
      <c r="P49" s="443"/>
      <c r="Q49" s="444"/>
    </row>
    <row r="50" spans="1:18" ht="15.75" hidden="1" thickBot="1" x14ac:dyDescent="0.3">
      <c r="A50" s="236" t="s">
        <v>49</v>
      </c>
      <c r="B50" s="237"/>
      <c r="C50" s="237"/>
      <c r="D50" s="193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</row>
    <row r="51" spans="1:18" ht="15.75" hidden="1" thickBot="1" x14ac:dyDescent="0.3">
      <c r="A51" s="236" t="s">
        <v>50</v>
      </c>
      <c r="B51" s="237"/>
      <c r="C51" s="237"/>
      <c r="D51" s="193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</row>
    <row r="52" spans="1:18" ht="15.75" hidden="1" customHeight="1" thickBot="1" x14ac:dyDescent="0.3">
      <c r="A52" s="442" t="s">
        <v>32</v>
      </c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4"/>
    </row>
    <row r="53" spans="1:18" ht="15.75" hidden="1" thickBot="1" x14ac:dyDescent="0.3">
      <c r="A53" s="236" t="s">
        <v>51</v>
      </c>
      <c r="B53" s="237"/>
      <c r="C53" s="237"/>
      <c r="D53" s="193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</row>
    <row r="54" spans="1:18" ht="15.75" hidden="1" thickBot="1" x14ac:dyDescent="0.3">
      <c r="A54" s="236" t="s">
        <v>50</v>
      </c>
      <c r="B54" s="237"/>
      <c r="C54" s="237"/>
      <c r="D54" s="193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/>
      <c r="P54" s="237"/>
      <c r="Q54" s="237"/>
    </row>
    <row r="55" spans="1:18" ht="15.75" hidden="1" customHeight="1" thickBot="1" x14ac:dyDescent="0.3">
      <c r="A55" s="439" t="s">
        <v>33</v>
      </c>
      <c r="B55" s="440"/>
      <c r="C55" s="440"/>
      <c r="D55" s="440"/>
      <c r="E55" s="440"/>
      <c r="F55" s="440"/>
      <c r="G55" s="440"/>
      <c r="H55" s="440"/>
      <c r="I55" s="440"/>
      <c r="J55" s="441"/>
      <c r="K55" s="237"/>
      <c r="L55" s="237"/>
      <c r="M55" s="237"/>
      <c r="N55" s="237"/>
      <c r="O55" s="237"/>
      <c r="P55" s="237"/>
      <c r="Q55" s="237"/>
    </row>
    <row r="56" spans="1:18" ht="15.75" customHeight="1" thickBot="1" x14ac:dyDescent="0.3">
      <c r="A56" s="442" t="s">
        <v>34</v>
      </c>
      <c r="B56" s="443"/>
      <c r="C56" s="443"/>
      <c r="D56" s="443"/>
      <c r="E56" s="443"/>
      <c r="F56" s="443"/>
      <c r="G56" s="443"/>
      <c r="H56" s="443"/>
      <c r="I56" s="443"/>
      <c r="J56" s="444"/>
      <c r="K56" s="195">
        <f>K47+K26</f>
        <v>18403</v>
      </c>
      <c r="L56" s="245">
        <v>5005</v>
      </c>
      <c r="M56" s="195">
        <f>M47+M26</f>
        <v>13398</v>
      </c>
      <c r="N56" s="195">
        <f>N47+N26</f>
        <v>0</v>
      </c>
      <c r="O56" s="195">
        <f>O47+O26</f>
        <v>0</v>
      </c>
      <c r="P56" s="195"/>
      <c r="Q56" s="237"/>
      <c r="R56" s="195">
        <f>R47+R26</f>
        <v>8936</v>
      </c>
    </row>
    <row r="57" spans="1:18" x14ac:dyDescent="0.25">
      <c r="A57" s="232"/>
      <c r="L57" s="238"/>
    </row>
    <row r="58" spans="1:18" x14ac:dyDescent="0.25">
      <c r="A58" s="165" t="s">
        <v>137</v>
      </c>
    </row>
    <row r="59" spans="1:18" x14ac:dyDescent="0.25">
      <c r="K59" s="238"/>
      <c r="P59" s="238"/>
    </row>
    <row r="60" spans="1:18" x14ac:dyDescent="0.25">
      <c r="A60" s="232"/>
      <c r="K60" s="238"/>
    </row>
    <row r="62" spans="1:18" x14ac:dyDescent="0.25">
      <c r="L62" s="165" t="s">
        <v>344</v>
      </c>
      <c r="M62" s="165">
        <v>13398</v>
      </c>
    </row>
    <row r="63" spans="1:18" x14ac:dyDescent="0.25">
      <c r="L63" s="246" t="s">
        <v>345</v>
      </c>
      <c r="M63" s="238">
        <f>16386*1.18</f>
        <v>19335.48</v>
      </c>
    </row>
    <row r="64" spans="1:18" x14ac:dyDescent="0.25">
      <c r="L64" s="165" t="s">
        <v>346</v>
      </c>
      <c r="M64" s="238">
        <f>M63-M56</f>
        <v>5937.48</v>
      </c>
    </row>
  </sheetData>
  <mergeCells count="51">
    <mergeCell ref="A49:Q49"/>
    <mergeCell ref="A52:Q52"/>
    <mergeCell ref="A55:J55"/>
    <mergeCell ref="A56:J56"/>
    <mergeCell ref="N36:N41"/>
    <mergeCell ref="O36:O41"/>
    <mergeCell ref="P36:P41"/>
    <mergeCell ref="Q36:Q41"/>
    <mergeCell ref="A47:J47"/>
    <mergeCell ref="A48:Q48"/>
    <mergeCell ref="A35:Q35"/>
    <mergeCell ref="A36:A41"/>
    <mergeCell ref="B36:B41"/>
    <mergeCell ref="C36:C41"/>
    <mergeCell ref="D36:D41"/>
    <mergeCell ref="I36:I41"/>
    <mergeCell ref="J36:J41"/>
    <mergeCell ref="K36:K41"/>
    <mergeCell ref="L36:L41"/>
    <mergeCell ref="M36:M41"/>
    <mergeCell ref="M6:M7"/>
    <mergeCell ref="P6:P7"/>
    <mergeCell ref="Q6:Q7"/>
    <mergeCell ref="A34:J34"/>
    <mergeCell ref="A9:Q9"/>
    <mergeCell ref="A10:Q10"/>
    <mergeCell ref="A13:Q13"/>
    <mergeCell ref="A16:Q16"/>
    <mergeCell ref="A19:Q19"/>
    <mergeCell ref="A22:J22"/>
    <mergeCell ref="A23:Q23"/>
    <mergeCell ref="A26:J26"/>
    <mergeCell ref="A27:Q27"/>
    <mergeCell ref="A28:Q28"/>
    <mergeCell ref="A31:Q31"/>
    <mergeCell ref="A1:Q1"/>
    <mergeCell ref="A2:Q2"/>
    <mergeCell ref="A3:Q3"/>
    <mergeCell ref="A5:A7"/>
    <mergeCell ref="B5:B7"/>
    <mergeCell ref="C5:C7"/>
    <mergeCell ref="D5:D7"/>
    <mergeCell ref="E5:H5"/>
    <mergeCell ref="I5:I7"/>
    <mergeCell ref="J5:J7"/>
    <mergeCell ref="K5:Q5"/>
    <mergeCell ref="E6:E7"/>
    <mergeCell ref="F6:F7"/>
    <mergeCell ref="G6:H6"/>
    <mergeCell ref="K6:K7"/>
    <mergeCell ref="L6:L7"/>
  </mergeCells>
  <hyperlinks>
    <hyperlink ref="A22" location="Par120" tooltip="Группа 1. Строительство, реконструкция или модернизация объектов в целях подключения потребителей:" display="Par120"/>
    <hyperlink ref="A26" location="Par269" tooltip="Группа 2. Строительство новых объектов системы централизованного теплоснабжения, не связанных с подключением новых потребителей, в том числе строительство новых тепловых сетей" display="Par269"/>
    <hyperlink ref="A34" location="Par312" tooltip="Группа 3. Реконструкция или модернизация существующих объектов в целях снижения уровня износа существующих объектов и (или) поставки энергии от разных источников" display="Par312"/>
    <hyperlink ref="A47" location="Par391" tooltip="Группа 4. Мероприятия, направленные на снижение негативного воздействия на окружающую среду, достижение плановых значений показателей надежности и энергетической эффективности объектов теплоснабжения, повышение эффективности работы систем централизованног" display="Par391"/>
    <hyperlink ref="A55" location="Par434" tooltip="Группа 5. Вывод из эксплуатации, консервация и демонтаж объектов системы централизованного теплоснабжения" display="Par434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C1" workbookViewId="0">
      <selection activeCell="N20" sqref="N20"/>
    </sheetView>
  </sheetViews>
  <sheetFormatPr defaultRowHeight="15" x14ac:dyDescent="0.25"/>
  <cols>
    <col min="1" max="1" width="27.85546875" customWidth="1"/>
    <col min="2" max="2" width="27.28515625" customWidth="1"/>
    <col min="3" max="3" width="27.42578125" customWidth="1"/>
  </cols>
  <sheetData>
    <row r="1" spans="1:5" ht="21.75" customHeight="1" x14ac:dyDescent="0.25">
      <c r="A1" s="211" t="s">
        <v>286</v>
      </c>
      <c r="B1" s="211" t="s">
        <v>286</v>
      </c>
      <c r="C1" s="211" t="s">
        <v>286</v>
      </c>
    </row>
    <row r="2" spans="1:5" ht="18.75" customHeight="1" x14ac:dyDescent="0.25">
      <c r="A2" s="212" t="s">
        <v>287</v>
      </c>
      <c r="B2" s="212" t="s">
        <v>287</v>
      </c>
      <c r="C2" s="212" t="s">
        <v>287</v>
      </c>
      <c r="E2" s="228"/>
    </row>
    <row r="3" spans="1:5" x14ac:dyDescent="0.25">
      <c r="A3" s="212"/>
      <c r="B3" s="212"/>
      <c r="C3" s="212"/>
    </row>
    <row r="4" spans="1:5" x14ac:dyDescent="0.25">
      <c r="A4" s="212" t="s">
        <v>288</v>
      </c>
      <c r="B4" s="212" t="s">
        <v>288</v>
      </c>
      <c r="C4" s="212" t="s">
        <v>288</v>
      </c>
    </row>
    <row r="5" spans="1:5" x14ac:dyDescent="0.25">
      <c r="A5" s="212"/>
      <c r="B5" s="212"/>
      <c r="C5" s="212"/>
    </row>
    <row r="6" spans="1:5" x14ac:dyDescent="0.25">
      <c r="A6" s="212" t="s">
        <v>293</v>
      </c>
      <c r="B6" s="212" t="s">
        <v>293</v>
      </c>
      <c r="C6" s="212" t="s">
        <v>293</v>
      </c>
    </row>
    <row r="7" spans="1:5" x14ac:dyDescent="0.25">
      <c r="A7" s="213"/>
      <c r="B7" s="213"/>
      <c r="C7" s="213"/>
    </row>
    <row r="8" spans="1:5" ht="21.75" customHeight="1" x14ac:dyDescent="0.25">
      <c r="A8" s="211" t="s">
        <v>286</v>
      </c>
      <c r="B8" s="211" t="s">
        <v>286</v>
      </c>
      <c r="C8" s="211" t="s">
        <v>286</v>
      </c>
    </row>
    <row r="9" spans="1:5" ht="18.75" customHeight="1" x14ac:dyDescent="0.25">
      <c r="A9" s="212" t="s">
        <v>287</v>
      </c>
      <c r="B9" s="212" t="s">
        <v>287</v>
      </c>
      <c r="C9" s="212" t="s">
        <v>287</v>
      </c>
    </row>
    <row r="10" spans="1:5" x14ac:dyDescent="0.25">
      <c r="A10" s="212"/>
      <c r="B10" s="212"/>
      <c r="C10" s="212"/>
    </row>
    <row r="11" spans="1:5" x14ac:dyDescent="0.25">
      <c r="A11" s="212" t="s">
        <v>288</v>
      </c>
      <c r="B11" s="212" t="s">
        <v>288</v>
      </c>
      <c r="C11" s="212" t="s">
        <v>288</v>
      </c>
    </row>
    <row r="12" spans="1:5" x14ac:dyDescent="0.25">
      <c r="A12" s="212"/>
      <c r="B12" s="212"/>
      <c r="C12" s="212"/>
    </row>
    <row r="13" spans="1:5" x14ac:dyDescent="0.25">
      <c r="A13" s="212" t="s">
        <v>293</v>
      </c>
      <c r="B13" s="212" t="s">
        <v>293</v>
      </c>
      <c r="C13" s="212" t="s">
        <v>293</v>
      </c>
    </row>
    <row r="14" spans="1:5" x14ac:dyDescent="0.25">
      <c r="A14" s="213"/>
      <c r="B14" s="213"/>
      <c r="C14" s="21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B22"/>
  <sheetViews>
    <sheetView zoomScaleNormal="100" workbookViewId="0">
      <selection activeCell="H14" sqref="H14"/>
    </sheetView>
  </sheetViews>
  <sheetFormatPr defaultRowHeight="15" x14ac:dyDescent="0.25"/>
  <cols>
    <col min="1" max="1" width="40.7109375" customWidth="1"/>
    <col min="2" max="2" width="45.7109375" style="6" customWidth="1"/>
  </cols>
  <sheetData>
    <row r="1" spans="1:2" x14ac:dyDescent="0.25">
      <c r="A1" s="252" t="s">
        <v>52</v>
      </c>
      <c r="B1" s="252"/>
    </row>
    <row r="2" spans="1:2" x14ac:dyDescent="0.25">
      <c r="A2" s="16"/>
    </row>
    <row r="3" spans="1:2" x14ac:dyDescent="0.25">
      <c r="A3" s="252" t="s">
        <v>130</v>
      </c>
      <c r="B3" s="252"/>
    </row>
    <row r="6" spans="1:2" ht="60" x14ac:dyDescent="0.25">
      <c r="A6" s="6" t="s">
        <v>53</v>
      </c>
      <c r="B6" s="6" t="s">
        <v>130</v>
      </c>
    </row>
    <row r="7" spans="1:2" ht="30" x14ac:dyDescent="0.25">
      <c r="A7" s="6" t="s">
        <v>55</v>
      </c>
      <c r="B7" s="6" t="s">
        <v>131</v>
      </c>
    </row>
    <row r="8" spans="1:2" ht="30" x14ac:dyDescent="0.25">
      <c r="A8" s="6" t="s">
        <v>56</v>
      </c>
      <c r="B8" s="6" t="s">
        <v>280</v>
      </c>
    </row>
    <row r="9" spans="1:2" ht="30" x14ac:dyDescent="0.25">
      <c r="A9" s="6" t="s">
        <v>57</v>
      </c>
      <c r="B9" s="6" t="s">
        <v>274</v>
      </c>
    </row>
    <row r="10" spans="1:2" ht="45" x14ac:dyDescent="0.25">
      <c r="A10" s="6" t="s">
        <v>58</v>
      </c>
      <c r="B10" s="6" t="s">
        <v>132</v>
      </c>
    </row>
    <row r="11" spans="1:2" ht="60" x14ac:dyDescent="0.25">
      <c r="A11" s="6" t="s">
        <v>59</v>
      </c>
      <c r="B11" s="6" t="s">
        <v>144</v>
      </c>
    </row>
    <row r="12" spans="1:2" ht="30" x14ac:dyDescent="0.25">
      <c r="A12" s="6" t="s">
        <v>60</v>
      </c>
      <c r="B12" s="6" t="s">
        <v>145</v>
      </c>
    </row>
    <row r="13" spans="1:2" ht="30" x14ac:dyDescent="0.25">
      <c r="A13" s="6" t="s">
        <v>61</v>
      </c>
      <c r="B13" s="6" t="s">
        <v>152</v>
      </c>
    </row>
    <row r="14" spans="1:2" ht="30" x14ac:dyDescent="0.25">
      <c r="A14" s="6" t="s">
        <v>62</v>
      </c>
      <c r="B14" s="6" t="s">
        <v>54</v>
      </c>
    </row>
    <row r="15" spans="1:2" ht="45" x14ac:dyDescent="0.25">
      <c r="A15" s="6" t="s">
        <v>63</v>
      </c>
      <c r="B15" s="6" t="s">
        <v>146</v>
      </c>
    </row>
    <row r="16" spans="1:2" ht="45" x14ac:dyDescent="0.25">
      <c r="A16" s="6" t="s">
        <v>64</v>
      </c>
      <c r="B16" s="6" t="s">
        <v>147</v>
      </c>
    </row>
    <row r="17" spans="1:2" ht="45" x14ac:dyDescent="0.25">
      <c r="A17" s="6" t="s">
        <v>65</v>
      </c>
      <c r="B17" s="6" t="s">
        <v>148</v>
      </c>
    </row>
    <row r="18" spans="1:2" ht="30" x14ac:dyDescent="0.25">
      <c r="A18" s="6" t="s">
        <v>66</v>
      </c>
      <c r="B18" s="6" t="s">
        <v>153</v>
      </c>
    </row>
    <row r="19" spans="1:2" ht="40.5" customHeight="1" x14ac:dyDescent="0.25">
      <c r="A19" s="6" t="s">
        <v>67</v>
      </c>
      <c r="B19" s="6" t="s">
        <v>54</v>
      </c>
    </row>
    <row r="20" spans="1:2" ht="45" x14ac:dyDescent="0.25">
      <c r="A20" s="6" t="s">
        <v>68</v>
      </c>
      <c r="B20" s="6" t="s">
        <v>149</v>
      </c>
    </row>
    <row r="22" spans="1:2" ht="71.25" customHeight="1" x14ac:dyDescent="0.25">
      <c r="A22" t="s">
        <v>133</v>
      </c>
    </row>
  </sheetData>
  <mergeCells count="2">
    <mergeCell ref="A1:B1"/>
    <mergeCell ref="A3:B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61"/>
  <sheetViews>
    <sheetView tabSelected="1" zoomScale="75" zoomScaleNormal="75" zoomScaleSheetLayoutView="86" workbookViewId="0">
      <pane xSplit="2" ySplit="23" topLeftCell="C39" activePane="bottomRight" state="frozen"/>
      <selection activeCell="H14" sqref="H14"/>
      <selection pane="topRight" activeCell="H14" sqref="H14"/>
      <selection pane="bottomLeft" activeCell="H14" sqref="H14"/>
      <selection pane="bottomRight" activeCell="B24" sqref="B24:B25"/>
    </sheetView>
  </sheetViews>
  <sheetFormatPr defaultRowHeight="15" outlineLevelRow="1" x14ac:dyDescent="0.25"/>
  <cols>
    <col min="1" max="1" width="5.42578125" style="155" customWidth="1"/>
    <col min="2" max="2" width="36.85546875" style="155" customWidth="1"/>
    <col min="3" max="3" width="21.7109375" style="155" customWidth="1"/>
    <col min="4" max="4" width="13.140625" style="155" customWidth="1"/>
    <col min="5" max="5" width="9" style="155" customWidth="1"/>
    <col min="6" max="6" width="4.85546875" style="155" customWidth="1"/>
    <col min="7" max="7" width="10.28515625" style="144" customWidth="1"/>
    <col min="8" max="8" width="15" style="144" customWidth="1"/>
    <col min="9" max="9" width="7.85546875" style="144" customWidth="1"/>
    <col min="10" max="10" width="7.42578125" style="144" customWidth="1"/>
    <col min="11" max="11" width="9.28515625" style="144" customWidth="1"/>
    <col min="12" max="12" width="9" style="144" customWidth="1"/>
    <col min="13" max="14" width="9.140625" style="144" customWidth="1"/>
    <col min="15" max="15" width="11.140625" style="144" customWidth="1"/>
    <col min="16" max="16" width="9.140625" style="144" customWidth="1"/>
    <col min="17" max="17" width="9.7109375" style="144" customWidth="1"/>
    <col min="18" max="18" width="8.7109375" style="144" customWidth="1"/>
    <col min="19" max="16384" width="9.140625" style="155"/>
  </cols>
  <sheetData>
    <row r="1" spans="1:21" ht="18.75" x14ac:dyDescent="0.25">
      <c r="A1" s="253" t="s">
        <v>35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T1" s="221">
        <f>ФинПлан!G15</f>
        <v>3423</v>
      </c>
      <c r="U1" s="222">
        <f>[1]НВВ!$P$41</f>
        <v>1.0197843016172154</v>
      </c>
    </row>
    <row r="2" spans="1:21" ht="18.75" x14ac:dyDescent="0.25">
      <c r="A2" s="253" t="s">
        <v>138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U2" s="222">
        <f>[1]НВВ!$P$37</f>
        <v>1.0210126061155254</v>
      </c>
    </row>
    <row r="3" spans="1:21" ht="18.75" x14ac:dyDescent="0.25">
      <c r="A3" s="253" t="s">
        <v>279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</row>
    <row r="4" spans="1:21" ht="15.75" thickBot="1" x14ac:dyDescent="0.3">
      <c r="A4" s="156"/>
    </row>
    <row r="5" spans="1:21" ht="36.75" customHeight="1" thickBot="1" x14ac:dyDescent="0.3">
      <c r="A5" s="254" t="s">
        <v>0</v>
      </c>
      <c r="B5" s="254" t="s">
        <v>1</v>
      </c>
      <c r="C5" s="254" t="s">
        <v>2</v>
      </c>
      <c r="D5" s="254" t="s">
        <v>3</v>
      </c>
      <c r="E5" s="257" t="s">
        <v>4</v>
      </c>
      <c r="F5" s="258"/>
      <c r="G5" s="258"/>
      <c r="H5" s="259"/>
      <c r="I5" s="260" t="s">
        <v>5</v>
      </c>
      <c r="J5" s="260" t="s">
        <v>6</v>
      </c>
      <c r="K5" s="263" t="s">
        <v>291</v>
      </c>
      <c r="L5" s="264"/>
      <c r="M5" s="264"/>
      <c r="N5" s="264"/>
      <c r="O5" s="264"/>
      <c r="P5" s="264"/>
      <c r="Q5" s="264"/>
      <c r="R5" s="265"/>
    </row>
    <row r="6" spans="1:21" ht="30.75" customHeight="1" thickBot="1" x14ac:dyDescent="0.3">
      <c r="A6" s="255"/>
      <c r="B6" s="255"/>
      <c r="C6" s="255"/>
      <c r="D6" s="255"/>
      <c r="E6" s="254" t="s">
        <v>7</v>
      </c>
      <c r="F6" s="254" t="s">
        <v>8</v>
      </c>
      <c r="G6" s="263" t="s">
        <v>9</v>
      </c>
      <c r="H6" s="265"/>
      <c r="I6" s="261"/>
      <c r="J6" s="261"/>
      <c r="K6" s="260" t="s">
        <v>10</v>
      </c>
      <c r="L6" s="260" t="s">
        <v>236</v>
      </c>
      <c r="M6" s="263" t="s">
        <v>11</v>
      </c>
      <c r="N6" s="264"/>
      <c r="O6" s="264"/>
      <c r="P6" s="264"/>
      <c r="Q6" s="260" t="s">
        <v>12</v>
      </c>
      <c r="R6" s="260" t="s">
        <v>13</v>
      </c>
    </row>
    <row r="7" spans="1:21" ht="47.25" customHeight="1" thickBot="1" x14ac:dyDescent="0.3">
      <c r="A7" s="256"/>
      <c r="B7" s="256"/>
      <c r="C7" s="256"/>
      <c r="D7" s="256"/>
      <c r="E7" s="256"/>
      <c r="F7" s="256"/>
      <c r="G7" s="33" t="s">
        <v>14</v>
      </c>
      <c r="H7" s="33" t="s">
        <v>15</v>
      </c>
      <c r="I7" s="262"/>
      <c r="J7" s="262"/>
      <c r="K7" s="262"/>
      <c r="L7" s="262"/>
      <c r="M7" s="33">
        <v>2019</v>
      </c>
      <c r="N7" s="33">
        <v>2020</v>
      </c>
      <c r="O7" s="33">
        <v>2021</v>
      </c>
      <c r="P7" s="33">
        <v>2022</v>
      </c>
      <c r="Q7" s="262"/>
      <c r="R7" s="262"/>
    </row>
    <row r="8" spans="1:21" s="144" customFormat="1" ht="15.75" thickBot="1" x14ac:dyDescent="0.3">
      <c r="A8" s="217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18</v>
      </c>
      <c r="R8" s="33">
        <v>19</v>
      </c>
    </row>
    <row r="9" spans="1:21" ht="15.75" thickBot="1" x14ac:dyDescent="0.3">
      <c r="A9" s="257" t="s">
        <v>16</v>
      </c>
      <c r="B9" s="258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9"/>
    </row>
    <row r="10" spans="1:21" ht="15.75" hidden="1" thickBot="1" x14ac:dyDescent="0.3">
      <c r="A10" s="257" t="s">
        <v>17</v>
      </c>
      <c r="B10" s="258"/>
      <c r="C10" s="258"/>
      <c r="D10" s="258"/>
      <c r="E10" s="258"/>
      <c r="F10" s="258"/>
      <c r="G10" s="258"/>
      <c r="H10" s="258"/>
      <c r="I10" s="258"/>
      <c r="J10" s="258"/>
      <c r="K10" s="258"/>
      <c r="L10" s="258"/>
      <c r="M10" s="258"/>
      <c r="N10" s="258"/>
      <c r="O10" s="258"/>
      <c r="P10" s="258"/>
      <c r="Q10" s="258"/>
      <c r="R10" s="259"/>
    </row>
    <row r="11" spans="1:21" ht="26.25" hidden="1" thickBot="1" x14ac:dyDescent="0.3">
      <c r="A11" s="152" t="s">
        <v>36</v>
      </c>
      <c r="B11" s="34"/>
      <c r="C11" s="34"/>
      <c r="D11" s="34"/>
      <c r="E11" s="34"/>
      <c r="F11" s="34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spans="1:21" ht="26.25" hidden="1" thickBot="1" x14ac:dyDescent="0.3">
      <c r="A12" s="152" t="s">
        <v>37</v>
      </c>
      <c r="B12" s="34"/>
      <c r="C12" s="34"/>
      <c r="D12" s="34"/>
      <c r="E12" s="34"/>
      <c r="F12" s="34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</row>
    <row r="13" spans="1:21" ht="15.75" hidden="1" thickBot="1" x14ac:dyDescent="0.3">
      <c r="A13" s="257" t="s">
        <v>18</v>
      </c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9"/>
    </row>
    <row r="14" spans="1:21" ht="26.25" hidden="1" thickBot="1" x14ac:dyDescent="0.3">
      <c r="A14" s="152" t="s">
        <v>38</v>
      </c>
      <c r="B14" s="34"/>
      <c r="C14" s="34"/>
      <c r="D14" s="34"/>
      <c r="E14" s="34"/>
      <c r="F14" s="34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</row>
    <row r="15" spans="1:21" ht="26.25" hidden="1" thickBot="1" x14ac:dyDescent="0.3">
      <c r="A15" s="152" t="s">
        <v>39</v>
      </c>
      <c r="B15" s="34"/>
      <c r="C15" s="34"/>
      <c r="D15" s="34"/>
      <c r="E15" s="34"/>
      <c r="F15" s="34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</row>
    <row r="16" spans="1:21" ht="15.75" hidden="1" thickBot="1" x14ac:dyDescent="0.3">
      <c r="A16" s="257" t="s">
        <v>19</v>
      </c>
      <c r="B16" s="258"/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9"/>
    </row>
    <row r="17" spans="1:29" ht="26.25" hidden="1" thickBot="1" x14ac:dyDescent="0.3">
      <c r="A17" s="152" t="s">
        <v>40</v>
      </c>
      <c r="B17" s="34"/>
      <c r="C17" s="34"/>
      <c r="D17" s="34"/>
      <c r="E17" s="34"/>
      <c r="F17" s="34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</row>
    <row r="18" spans="1:29" ht="26.25" hidden="1" thickBot="1" x14ac:dyDescent="0.3">
      <c r="A18" s="152" t="s">
        <v>41</v>
      </c>
      <c r="B18" s="34"/>
      <c r="C18" s="34"/>
      <c r="D18" s="34"/>
      <c r="E18" s="34"/>
      <c r="F18" s="34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</row>
    <row r="19" spans="1:29" ht="25.5" hidden="1" customHeight="1" thickBot="1" x14ac:dyDescent="0.3">
      <c r="A19" s="257" t="s">
        <v>20</v>
      </c>
      <c r="B19" s="258"/>
      <c r="C19" s="258"/>
      <c r="D19" s="258"/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9"/>
    </row>
    <row r="20" spans="1:29" ht="26.25" hidden="1" thickBot="1" x14ac:dyDescent="0.3">
      <c r="A20" s="152" t="s">
        <v>42</v>
      </c>
      <c r="B20" s="34"/>
      <c r="C20" s="34"/>
      <c r="D20" s="34"/>
      <c r="E20" s="34"/>
      <c r="F20" s="34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</row>
    <row r="21" spans="1:29" ht="26.25" hidden="1" thickBot="1" x14ac:dyDescent="0.3">
      <c r="A21" s="152" t="s">
        <v>43</v>
      </c>
      <c r="B21" s="34"/>
      <c r="C21" s="34"/>
      <c r="D21" s="34"/>
      <c r="E21" s="34"/>
      <c r="F21" s="34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</row>
    <row r="22" spans="1:29" ht="15.75" thickBot="1" x14ac:dyDescent="0.3">
      <c r="A22" s="266" t="s">
        <v>21</v>
      </c>
      <c r="B22" s="267"/>
      <c r="C22" s="267"/>
      <c r="D22" s="267"/>
      <c r="E22" s="267"/>
      <c r="F22" s="267"/>
      <c r="G22" s="267"/>
      <c r="H22" s="267"/>
      <c r="I22" s="267"/>
      <c r="J22" s="268"/>
      <c r="K22" s="33"/>
      <c r="L22" s="33"/>
      <c r="M22" s="33"/>
      <c r="N22" s="33"/>
      <c r="O22" s="33"/>
      <c r="P22" s="33"/>
      <c r="Q22" s="33"/>
      <c r="R22" s="33"/>
    </row>
    <row r="23" spans="1:29" ht="25.5" customHeight="1" thickBot="1" x14ac:dyDescent="0.3">
      <c r="A23" s="257" t="s">
        <v>22</v>
      </c>
      <c r="B23" s="258"/>
      <c r="C23" s="258"/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9"/>
    </row>
    <row r="24" spans="1:29" s="196" customFormat="1" ht="39.75" customHeight="1" x14ac:dyDescent="0.25">
      <c r="A24" s="271" t="s">
        <v>95</v>
      </c>
      <c r="B24" s="269" t="s">
        <v>278</v>
      </c>
      <c r="C24" s="269" t="s">
        <v>142</v>
      </c>
      <c r="D24" s="269" t="s">
        <v>243</v>
      </c>
      <c r="E24" s="198" t="s">
        <v>244</v>
      </c>
      <c r="F24" s="199" t="s">
        <v>296</v>
      </c>
      <c r="G24" s="200">
        <v>2.4</v>
      </c>
      <c r="H24" s="200">
        <v>1.548</v>
      </c>
      <c r="I24" s="269">
        <v>2019</v>
      </c>
      <c r="J24" s="269">
        <v>2019</v>
      </c>
      <c r="K24" s="286">
        <f>N24+M24+O24+P24</f>
        <v>499</v>
      </c>
      <c r="L24" s="269"/>
      <c r="M24" s="269">
        <v>499</v>
      </c>
      <c r="N24" s="269"/>
      <c r="O24" s="269"/>
      <c r="P24" s="269"/>
      <c r="Q24" s="269"/>
      <c r="R24" s="269"/>
    </row>
    <row r="25" spans="1:29" s="196" customFormat="1" ht="78" customHeight="1" outlineLevel="1" thickBot="1" x14ac:dyDescent="0.3">
      <c r="A25" s="272"/>
      <c r="B25" s="270"/>
      <c r="C25" s="270"/>
      <c r="D25" s="270"/>
      <c r="E25" s="192" t="s">
        <v>245</v>
      </c>
      <c r="F25" s="192" t="s">
        <v>240</v>
      </c>
      <c r="G25" s="193" t="s">
        <v>297</v>
      </c>
      <c r="H25" s="193" t="s">
        <v>298</v>
      </c>
      <c r="I25" s="270"/>
      <c r="J25" s="270">
        <v>2023</v>
      </c>
      <c r="K25" s="287"/>
      <c r="L25" s="270"/>
      <c r="M25" s="270"/>
      <c r="N25" s="270"/>
      <c r="O25" s="270"/>
      <c r="P25" s="270"/>
      <c r="Q25" s="270"/>
      <c r="R25" s="270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</row>
    <row r="26" spans="1:29" s="196" customFormat="1" ht="30.75" customHeight="1" outlineLevel="1" thickBot="1" x14ac:dyDescent="0.3">
      <c r="A26" s="273" t="s">
        <v>97</v>
      </c>
      <c r="B26" s="275" t="s">
        <v>277</v>
      </c>
      <c r="C26" s="275" t="s">
        <v>246</v>
      </c>
      <c r="D26" s="277" t="s">
        <v>255</v>
      </c>
      <c r="E26" s="192" t="s">
        <v>244</v>
      </c>
      <c r="F26" s="199" t="s">
        <v>296</v>
      </c>
      <c r="G26" s="200">
        <v>2.4</v>
      </c>
      <c r="H26" s="200">
        <v>1.548</v>
      </c>
      <c r="I26" s="269">
        <v>2020</v>
      </c>
      <c r="J26" s="269">
        <v>2021</v>
      </c>
      <c r="K26" s="286">
        <f>N26+M26+O26+P26</f>
        <v>16905</v>
      </c>
      <c r="L26" s="269"/>
      <c r="M26" s="269"/>
      <c r="N26" s="286">
        <v>6940</v>
      </c>
      <c r="O26" s="291">
        <v>9965</v>
      </c>
      <c r="P26" s="293"/>
      <c r="Q26" s="269"/>
      <c r="R26" s="269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</row>
    <row r="27" spans="1:29" s="196" customFormat="1" ht="79.5" customHeight="1" outlineLevel="1" thickBot="1" x14ac:dyDescent="0.3">
      <c r="A27" s="274"/>
      <c r="B27" s="276"/>
      <c r="C27" s="276"/>
      <c r="D27" s="278"/>
      <c r="E27" s="192" t="s">
        <v>245</v>
      </c>
      <c r="F27" s="192" t="s">
        <v>240</v>
      </c>
      <c r="G27" s="193" t="s">
        <v>297</v>
      </c>
      <c r="H27" s="193" t="s">
        <v>299</v>
      </c>
      <c r="I27" s="270"/>
      <c r="J27" s="270"/>
      <c r="K27" s="287"/>
      <c r="L27" s="270"/>
      <c r="M27" s="270"/>
      <c r="N27" s="287"/>
      <c r="O27" s="292"/>
      <c r="P27" s="292"/>
      <c r="Q27" s="270"/>
      <c r="R27" s="270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</row>
    <row r="28" spans="1:29" ht="15.75" thickBot="1" x14ac:dyDescent="0.3">
      <c r="A28" s="266" t="s">
        <v>23</v>
      </c>
      <c r="B28" s="267"/>
      <c r="C28" s="267"/>
      <c r="D28" s="267"/>
      <c r="E28" s="267"/>
      <c r="F28" s="267"/>
      <c r="G28" s="267"/>
      <c r="H28" s="267"/>
      <c r="I28" s="267"/>
      <c r="J28" s="268"/>
      <c r="K28" s="145">
        <f>SUM(K24:K27)</f>
        <v>17404</v>
      </c>
      <c r="L28" s="145"/>
      <c r="M28" s="145">
        <f>SUM(M24:M27)</f>
        <v>499</v>
      </c>
      <c r="N28" s="145">
        <f>SUM(N24:N27)</f>
        <v>6940</v>
      </c>
      <c r="O28" s="145">
        <f>SUM(O24:O27)</f>
        <v>9965</v>
      </c>
      <c r="P28" s="145">
        <f>SUM(P24:P27)</f>
        <v>0</v>
      </c>
      <c r="Q28" s="145"/>
      <c r="R28" s="33"/>
      <c r="S28" s="214"/>
      <c r="T28" s="214">
        <f t="shared" ref="T28:W28" si="0">L28/1.2</f>
        <v>0</v>
      </c>
      <c r="U28" s="214">
        <f t="shared" si="0"/>
        <v>415.83333333333337</v>
      </c>
      <c r="V28" s="214">
        <f t="shared" si="0"/>
        <v>5783.3333333333339</v>
      </c>
      <c r="W28" s="214">
        <f t="shared" si="0"/>
        <v>8304.1666666666679</v>
      </c>
      <c r="X28" s="214"/>
      <c r="Y28" s="214"/>
      <c r="Z28" s="214"/>
      <c r="AA28" s="214"/>
      <c r="AB28" s="214"/>
      <c r="AC28" s="214"/>
    </row>
    <row r="29" spans="1:29" ht="15.75" thickBot="1" x14ac:dyDescent="0.3">
      <c r="A29" s="257" t="s">
        <v>24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9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</row>
    <row r="30" spans="1:29" ht="15.75" hidden="1" thickBot="1" x14ac:dyDescent="0.3">
      <c r="A30" s="257" t="s">
        <v>25</v>
      </c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8"/>
      <c r="R30" s="259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</row>
    <row r="31" spans="1:29" ht="97.5" hidden="1" customHeight="1" thickBot="1" x14ac:dyDescent="0.3">
      <c r="A31" s="152" t="s">
        <v>45</v>
      </c>
      <c r="B31" s="34"/>
      <c r="C31" s="34"/>
      <c r="D31" s="34"/>
      <c r="E31" s="34"/>
      <c r="F31" s="34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</row>
    <row r="32" spans="1:29" ht="94.5" hidden="1" customHeight="1" thickBot="1" x14ac:dyDescent="0.3">
      <c r="A32" s="152" t="s">
        <v>46</v>
      </c>
      <c r="B32" s="34"/>
      <c r="C32" s="34"/>
      <c r="D32" s="34"/>
      <c r="E32" s="34"/>
      <c r="F32" s="34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</row>
    <row r="33" spans="1:29" ht="15.75" thickBot="1" x14ac:dyDescent="0.3">
      <c r="A33" s="257" t="s">
        <v>26</v>
      </c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9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</row>
    <row r="34" spans="1:29" ht="26.25" hidden="1" thickBot="1" x14ac:dyDescent="0.3">
      <c r="A34" s="152" t="s">
        <v>47</v>
      </c>
      <c r="B34" s="34"/>
      <c r="C34" s="34"/>
      <c r="D34" s="34"/>
      <c r="E34" s="34"/>
      <c r="F34" s="34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</row>
    <row r="35" spans="1:29" ht="26.25" hidden="1" thickBot="1" x14ac:dyDescent="0.3">
      <c r="A35" s="152" t="s">
        <v>46</v>
      </c>
      <c r="B35" s="34"/>
      <c r="C35" s="34"/>
      <c r="D35" s="34"/>
      <c r="E35" s="34"/>
      <c r="F35" s="34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</row>
    <row r="36" spans="1:29" ht="15.75" thickBot="1" x14ac:dyDescent="0.3">
      <c r="A36" s="266" t="s">
        <v>27</v>
      </c>
      <c r="B36" s="267"/>
      <c r="C36" s="267"/>
      <c r="D36" s="267"/>
      <c r="E36" s="267"/>
      <c r="F36" s="267"/>
      <c r="G36" s="267"/>
      <c r="H36" s="267"/>
      <c r="I36" s="267"/>
      <c r="J36" s="268"/>
      <c r="K36" s="33"/>
      <c r="L36" s="33"/>
      <c r="M36" s="33"/>
      <c r="N36" s="33"/>
      <c r="O36" s="33"/>
      <c r="P36" s="33"/>
      <c r="Q36" s="33"/>
      <c r="R36" s="33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</row>
    <row r="37" spans="1:29" ht="33" customHeight="1" thickBot="1" x14ac:dyDescent="0.3">
      <c r="A37" s="288" t="s">
        <v>28</v>
      </c>
      <c r="B37" s="289"/>
      <c r="C37" s="289"/>
      <c r="D37" s="289"/>
      <c r="E37" s="289"/>
      <c r="F37" s="289"/>
      <c r="G37" s="289"/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90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</row>
    <row r="38" spans="1:29" s="196" customFormat="1" ht="88.5" customHeight="1" thickBot="1" x14ac:dyDescent="0.3">
      <c r="A38" s="201" t="s">
        <v>154</v>
      </c>
      <c r="B38" s="202" t="s">
        <v>261</v>
      </c>
      <c r="C38" s="202" t="s">
        <v>139</v>
      </c>
      <c r="D38" s="202" t="s">
        <v>230</v>
      </c>
      <c r="E38" s="202" t="s">
        <v>140</v>
      </c>
      <c r="F38" s="202" t="s">
        <v>141</v>
      </c>
      <c r="G38" s="203" t="s">
        <v>233</v>
      </c>
      <c r="H38" s="203" t="s">
        <v>233</v>
      </c>
      <c r="I38" s="203">
        <v>2019</v>
      </c>
      <c r="J38" s="203">
        <v>2022</v>
      </c>
      <c r="K38" s="194">
        <f>SUM(M38:P38)</f>
        <v>3362</v>
      </c>
      <c r="L38" s="203"/>
      <c r="M38" s="203"/>
      <c r="N38" s="204"/>
      <c r="O38" s="203"/>
      <c r="P38" s="203">
        <v>3362</v>
      </c>
      <c r="Q38" s="203"/>
      <c r="R38" s="203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</row>
    <row r="39" spans="1:29" ht="84" customHeight="1" thickBot="1" x14ac:dyDescent="0.3">
      <c r="A39" s="152" t="s">
        <v>155</v>
      </c>
      <c r="B39" s="34" t="s">
        <v>260</v>
      </c>
      <c r="C39" s="34" t="s">
        <v>139</v>
      </c>
      <c r="D39" s="34" t="s">
        <v>253</v>
      </c>
      <c r="E39" s="34" t="s">
        <v>140</v>
      </c>
      <c r="F39" s="34" t="s">
        <v>141</v>
      </c>
      <c r="G39" s="33">
        <v>159.21899999999999</v>
      </c>
      <c r="H39" s="33">
        <v>159</v>
      </c>
      <c r="I39" s="33">
        <v>2021</v>
      </c>
      <c r="J39" s="33">
        <v>2020</v>
      </c>
      <c r="K39" s="194">
        <f t="shared" ref="K39:K42" si="1">SUM(M39:P39)</f>
        <v>4952</v>
      </c>
      <c r="L39" s="33"/>
      <c r="M39" s="33"/>
      <c r="N39" s="195">
        <v>4952</v>
      </c>
      <c r="O39" s="145"/>
      <c r="P39" s="33"/>
      <c r="Q39" s="33"/>
      <c r="R39" s="33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</row>
    <row r="40" spans="1:29" s="196" customFormat="1" ht="109.5" customHeight="1" thickBot="1" x14ac:dyDescent="0.3">
      <c r="A40" s="218" t="s">
        <v>156</v>
      </c>
      <c r="B40" s="192" t="s">
        <v>267</v>
      </c>
      <c r="C40" s="192" t="s">
        <v>256</v>
      </c>
      <c r="D40" s="192" t="s">
        <v>237</v>
      </c>
      <c r="E40" s="192" t="s">
        <v>140</v>
      </c>
      <c r="F40" s="192" t="s">
        <v>141</v>
      </c>
      <c r="G40" s="193">
        <v>114.15900000000001</v>
      </c>
      <c r="H40" s="193">
        <v>159</v>
      </c>
      <c r="I40" s="193">
        <v>2020</v>
      </c>
      <c r="J40" s="193">
        <v>2022</v>
      </c>
      <c r="K40" s="194">
        <f t="shared" si="1"/>
        <v>3294</v>
      </c>
      <c r="L40" s="193"/>
      <c r="M40" s="193"/>
      <c r="N40" s="195"/>
      <c r="O40" s="195"/>
      <c r="P40" s="193">
        <v>3294</v>
      </c>
      <c r="Q40" s="193"/>
      <c r="R40" s="193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</row>
    <row r="41" spans="1:29" s="196" customFormat="1" ht="96.75" customHeight="1" thickBot="1" x14ac:dyDescent="0.3">
      <c r="A41" s="218" t="s">
        <v>234</v>
      </c>
      <c r="B41" s="192" t="s">
        <v>263</v>
      </c>
      <c r="C41" s="192" t="s">
        <v>139</v>
      </c>
      <c r="D41" s="192" t="s">
        <v>230</v>
      </c>
      <c r="E41" s="192" t="s">
        <v>140</v>
      </c>
      <c r="F41" s="192" t="s">
        <v>141</v>
      </c>
      <c r="G41" s="193" t="s">
        <v>265</v>
      </c>
      <c r="H41" s="193" t="s">
        <v>264</v>
      </c>
      <c r="I41" s="193">
        <v>2020</v>
      </c>
      <c r="J41" s="193">
        <v>2020</v>
      </c>
      <c r="K41" s="194">
        <f t="shared" si="1"/>
        <v>2695</v>
      </c>
      <c r="L41" s="193"/>
      <c r="M41" s="193"/>
      <c r="N41" s="220">
        <v>2695</v>
      </c>
      <c r="O41" s="195"/>
      <c r="P41" s="193"/>
      <c r="Q41" s="193"/>
      <c r="R41" s="193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</row>
    <row r="42" spans="1:29" ht="85.5" customHeight="1" thickBot="1" x14ac:dyDescent="0.3">
      <c r="A42" s="152" t="s">
        <v>251</v>
      </c>
      <c r="B42" s="34" t="s">
        <v>271</v>
      </c>
      <c r="C42" s="34" t="s">
        <v>139</v>
      </c>
      <c r="D42" s="34" t="s">
        <v>259</v>
      </c>
      <c r="E42" s="34" t="s">
        <v>140</v>
      </c>
      <c r="F42" s="34" t="s">
        <v>141</v>
      </c>
      <c r="G42" s="33">
        <v>325</v>
      </c>
      <c r="H42" s="33">
        <v>159.108</v>
      </c>
      <c r="I42" s="33">
        <v>2022</v>
      </c>
      <c r="J42" s="33">
        <v>2022</v>
      </c>
      <c r="K42" s="194">
        <f t="shared" si="1"/>
        <v>2069</v>
      </c>
      <c r="L42" s="33"/>
      <c r="M42" s="33"/>
      <c r="N42" s="195"/>
      <c r="O42" s="145"/>
      <c r="P42" s="33">
        <v>2069</v>
      </c>
      <c r="Q42" s="33"/>
      <c r="R42" s="33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</row>
    <row r="43" spans="1:29" s="196" customFormat="1" ht="112.5" customHeight="1" thickBot="1" x14ac:dyDescent="0.3">
      <c r="A43" s="218" t="s">
        <v>252</v>
      </c>
      <c r="B43" s="192" t="s">
        <v>257</v>
      </c>
      <c r="C43" s="192" t="s">
        <v>238</v>
      </c>
      <c r="D43" s="192" t="s">
        <v>235</v>
      </c>
      <c r="E43" s="192" t="s">
        <v>239</v>
      </c>
      <c r="F43" s="192" t="s">
        <v>240</v>
      </c>
      <c r="G43" s="193" t="s">
        <v>241</v>
      </c>
      <c r="H43" s="193" t="s">
        <v>242</v>
      </c>
      <c r="I43" s="193">
        <v>2019</v>
      </c>
      <c r="J43" s="193">
        <v>2019</v>
      </c>
      <c r="K43" s="193">
        <f>M43+N43+O43+P43</f>
        <v>3640</v>
      </c>
      <c r="L43" s="193"/>
      <c r="M43" s="193">
        <v>3640</v>
      </c>
      <c r="N43" s="193"/>
      <c r="O43" s="193"/>
      <c r="P43" s="193"/>
      <c r="Q43" s="193"/>
      <c r="R43" s="193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</row>
    <row r="44" spans="1:29" ht="29.25" customHeight="1" x14ac:dyDescent="0.25">
      <c r="A44" s="282" t="s">
        <v>254</v>
      </c>
      <c r="B44" s="260" t="s">
        <v>262</v>
      </c>
      <c r="C44" s="284" t="s">
        <v>249</v>
      </c>
      <c r="D44" s="269" t="s">
        <v>247</v>
      </c>
      <c r="E44" s="205" t="s">
        <v>244</v>
      </c>
      <c r="F44" s="206" t="s">
        <v>268</v>
      </c>
      <c r="G44" s="207">
        <v>2.1</v>
      </c>
      <c r="H44" s="207">
        <v>2</v>
      </c>
      <c r="I44" s="260">
        <v>2021</v>
      </c>
      <c r="J44" s="260">
        <v>2022</v>
      </c>
      <c r="K44" s="260">
        <v>5750</v>
      </c>
      <c r="L44" s="260"/>
      <c r="M44" s="260"/>
      <c r="N44" s="260"/>
      <c r="O44" s="260">
        <v>814</v>
      </c>
      <c r="P44" s="260">
        <v>4936</v>
      </c>
      <c r="Q44" s="260"/>
      <c r="R44" s="260"/>
      <c r="S44" s="214"/>
      <c r="T44" s="214"/>
      <c r="U44" s="214"/>
      <c r="V44" s="214"/>
      <c r="W44" s="214"/>
      <c r="X44" s="214"/>
      <c r="Y44" s="214"/>
      <c r="Z44" s="214"/>
      <c r="AA44" s="214"/>
      <c r="AB44" s="214"/>
      <c r="AC44" s="214"/>
    </row>
    <row r="45" spans="1:29" ht="66" customHeight="1" thickBot="1" x14ac:dyDescent="0.3">
      <c r="A45" s="283"/>
      <c r="B45" s="262"/>
      <c r="C45" s="285"/>
      <c r="D45" s="270"/>
      <c r="E45" s="34" t="s">
        <v>250</v>
      </c>
      <c r="F45" s="34" t="s">
        <v>240</v>
      </c>
      <c r="G45" s="33" t="s">
        <v>269</v>
      </c>
      <c r="H45" s="33" t="s">
        <v>270</v>
      </c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14"/>
      <c r="T45" s="214"/>
      <c r="U45" s="214"/>
      <c r="V45" s="214"/>
      <c r="W45" s="214"/>
      <c r="X45" s="214"/>
      <c r="Y45" s="214"/>
      <c r="Z45" s="214"/>
      <c r="AA45" s="214"/>
      <c r="AB45" s="214"/>
      <c r="AC45" s="214"/>
    </row>
    <row r="46" spans="1:29" ht="26.25" customHeight="1" x14ac:dyDescent="0.25">
      <c r="A46" s="282" t="s">
        <v>258</v>
      </c>
      <c r="B46" s="260" t="s">
        <v>282</v>
      </c>
      <c r="C46" s="284" t="s">
        <v>249</v>
      </c>
      <c r="D46" s="269" t="s">
        <v>248</v>
      </c>
      <c r="E46" s="205" t="s">
        <v>244</v>
      </c>
      <c r="F46" s="206" t="s">
        <v>268</v>
      </c>
      <c r="G46" s="207">
        <v>1.6</v>
      </c>
      <c r="H46" s="207">
        <v>1.2</v>
      </c>
      <c r="I46" s="260">
        <v>2022</v>
      </c>
      <c r="J46" s="260">
        <v>2022</v>
      </c>
      <c r="K46" s="260">
        <f>M46+N46+O46+P46</f>
        <v>610</v>
      </c>
      <c r="L46" s="260"/>
      <c r="M46" s="260"/>
      <c r="N46" s="260"/>
      <c r="O46" s="260"/>
      <c r="P46" s="260">
        <v>610</v>
      </c>
      <c r="Q46" s="260"/>
      <c r="R46" s="260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</row>
    <row r="47" spans="1:29" ht="66.75" customHeight="1" thickBot="1" x14ac:dyDescent="0.3">
      <c r="A47" s="283"/>
      <c r="B47" s="262"/>
      <c r="C47" s="285"/>
      <c r="D47" s="270"/>
      <c r="E47" s="34" t="s">
        <v>245</v>
      </c>
      <c r="F47" s="34" t="s">
        <v>240</v>
      </c>
      <c r="G47" s="33" t="s">
        <v>275</v>
      </c>
      <c r="H47" s="33" t="s">
        <v>276</v>
      </c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14"/>
      <c r="T47" s="214"/>
      <c r="U47" s="214"/>
      <c r="V47" s="214"/>
      <c r="W47" s="214"/>
      <c r="X47" s="214"/>
      <c r="Y47" s="214"/>
      <c r="Z47" s="214"/>
      <c r="AA47" s="214"/>
      <c r="AB47" s="214"/>
      <c r="AC47" s="214"/>
    </row>
    <row r="48" spans="1:29" ht="15.75" thickBot="1" x14ac:dyDescent="0.3">
      <c r="A48" s="266" t="s">
        <v>29</v>
      </c>
      <c r="B48" s="267"/>
      <c r="C48" s="267"/>
      <c r="D48" s="267"/>
      <c r="E48" s="267"/>
      <c r="F48" s="267"/>
      <c r="G48" s="267"/>
      <c r="H48" s="267"/>
      <c r="I48" s="267"/>
      <c r="J48" s="268"/>
      <c r="K48" s="145">
        <f t="shared" ref="K48:P48" si="2">SUM(K38:K47)</f>
        <v>26372</v>
      </c>
      <c r="L48" s="145">
        <f t="shared" si="2"/>
        <v>0</v>
      </c>
      <c r="M48" s="145">
        <f t="shared" si="2"/>
        <v>3640</v>
      </c>
      <c r="N48" s="145">
        <f t="shared" si="2"/>
        <v>7647</v>
      </c>
      <c r="O48" s="145">
        <f t="shared" si="2"/>
        <v>814</v>
      </c>
      <c r="P48" s="145">
        <f t="shared" si="2"/>
        <v>14271</v>
      </c>
      <c r="Q48" s="145">
        <f>SUM(Q38:Q38)</f>
        <v>0</v>
      </c>
      <c r="R48" s="145">
        <f>SUM(R38:R38)</f>
        <v>0</v>
      </c>
      <c r="S48" s="214"/>
      <c r="T48" s="214"/>
      <c r="U48" s="214"/>
      <c r="V48" s="214"/>
      <c r="W48" s="214"/>
      <c r="X48" s="214"/>
      <c r="Y48" s="214"/>
      <c r="Z48" s="214"/>
      <c r="AA48" s="214"/>
      <c r="AB48" s="214"/>
      <c r="AC48" s="214"/>
    </row>
    <row r="49" spans="1:29" ht="15.75" thickBot="1" x14ac:dyDescent="0.3">
      <c r="A49" s="257" t="s">
        <v>30</v>
      </c>
      <c r="B49" s="258"/>
      <c r="C49" s="258"/>
      <c r="D49" s="258"/>
      <c r="E49" s="258"/>
      <c r="F49" s="258"/>
      <c r="G49" s="258"/>
      <c r="H49" s="258"/>
      <c r="I49" s="258"/>
      <c r="J49" s="258"/>
      <c r="K49" s="258"/>
      <c r="L49" s="258"/>
      <c r="M49" s="258"/>
      <c r="N49" s="258"/>
      <c r="O49" s="258"/>
      <c r="P49" s="258"/>
      <c r="Q49" s="258"/>
      <c r="R49" s="259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</row>
    <row r="50" spans="1:29" ht="15.75" thickBot="1" x14ac:dyDescent="0.3">
      <c r="A50" s="257" t="s">
        <v>31</v>
      </c>
      <c r="B50" s="258"/>
      <c r="C50" s="258"/>
      <c r="D50" s="258"/>
      <c r="E50" s="258"/>
      <c r="F50" s="258"/>
      <c r="G50" s="258"/>
      <c r="H50" s="258"/>
      <c r="I50" s="258"/>
      <c r="J50" s="258"/>
      <c r="K50" s="258"/>
      <c r="L50" s="258"/>
      <c r="M50" s="258"/>
      <c r="N50" s="258"/>
      <c r="O50" s="258"/>
      <c r="P50" s="258"/>
      <c r="Q50" s="258"/>
      <c r="R50" s="259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</row>
    <row r="51" spans="1:29" ht="26.25" thickBot="1" x14ac:dyDescent="0.3">
      <c r="A51" s="152" t="s">
        <v>49</v>
      </c>
      <c r="B51" s="34"/>
      <c r="C51" s="34"/>
      <c r="D51" s="34"/>
      <c r="E51" s="34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214"/>
      <c r="T51" s="214"/>
      <c r="U51" s="214"/>
      <c r="V51" s="214"/>
      <c r="W51" s="214"/>
      <c r="X51" s="214"/>
      <c r="Y51" s="214"/>
      <c r="Z51" s="214"/>
      <c r="AA51" s="214"/>
      <c r="AB51" s="214"/>
      <c r="AC51" s="214"/>
    </row>
    <row r="52" spans="1:29" ht="26.25" thickBot="1" x14ac:dyDescent="0.3">
      <c r="A52" s="152" t="s">
        <v>50</v>
      </c>
      <c r="B52" s="34"/>
      <c r="C52" s="34"/>
      <c r="D52" s="34"/>
      <c r="E52" s="34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214"/>
      <c r="T52" s="214"/>
      <c r="U52" s="214"/>
      <c r="V52" s="214"/>
      <c r="W52" s="214"/>
      <c r="X52" s="214"/>
      <c r="Y52" s="214"/>
      <c r="Z52" s="214"/>
      <c r="AA52" s="214"/>
      <c r="AB52" s="214"/>
      <c r="AC52" s="214"/>
    </row>
    <row r="53" spans="1:29" ht="15.75" thickBot="1" x14ac:dyDescent="0.3">
      <c r="A53" s="257" t="s">
        <v>32</v>
      </c>
      <c r="B53" s="258"/>
      <c r="C53" s="258"/>
      <c r="D53" s="258"/>
      <c r="E53" s="258"/>
      <c r="F53" s="258"/>
      <c r="G53" s="258"/>
      <c r="H53" s="258"/>
      <c r="I53" s="258"/>
      <c r="J53" s="258"/>
      <c r="K53" s="258"/>
      <c r="L53" s="258"/>
      <c r="M53" s="258"/>
      <c r="N53" s="258"/>
      <c r="O53" s="258"/>
      <c r="P53" s="258"/>
      <c r="Q53" s="258"/>
      <c r="R53" s="259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</row>
    <row r="54" spans="1:29" ht="15.75" hidden="1" thickBot="1" x14ac:dyDescent="0.3">
      <c r="A54" s="152"/>
      <c r="B54" s="34"/>
      <c r="C54" s="34"/>
      <c r="D54" s="34"/>
      <c r="E54" s="34"/>
      <c r="F54" s="34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</row>
    <row r="55" spans="1:29" ht="15.75" hidden="1" thickBot="1" x14ac:dyDescent="0.3">
      <c r="A55" s="152"/>
      <c r="B55" s="34"/>
      <c r="C55" s="34"/>
      <c r="D55" s="34"/>
      <c r="E55" s="34"/>
      <c r="F55" s="34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</row>
    <row r="56" spans="1:29" ht="21.75" customHeight="1" thickBot="1" x14ac:dyDescent="0.3">
      <c r="A56" s="266" t="s">
        <v>33</v>
      </c>
      <c r="B56" s="267"/>
      <c r="C56" s="267"/>
      <c r="D56" s="267"/>
      <c r="E56" s="267"/>
      <c r="F56" s="267"/>
      <c r="G56" s="267"/>
      <c r="H56" s="267"/>
      <c r="I56" s="267"/>
      <c r="J56" s="268"/>
      <c r="K56" s="33">
        <f>SUM(K54:K55)</f>
        <v>0</v>
      </c>
      <c r="L56" s="33"/>
      <c r="M56" s="33">
        <f>SUM(M54:M55)</f>
        <v>0</v>
      </c>
      <c r="N56" s="33"/>
      <c r="O56" s="33"/>
      <c r="P56" s="33"/>
      <c r="Q56" s="33"/>
      <c r="R56" s="33"/>
      <c r="S56" s="214"/>
      <c r="T56" s="214"/>
      <c r="U56" s="214"/>
      <c r="V56" s="214"/>
      <c r="W56" s="214"/>
      <c r="X56" s="214"/>
      <c r="Y56" s="214"/>
      <c r="Z56" s="214"/>
      <c r="AA56" s="214"/>
      <c r="AB56" s="214"/>
      <c r="AC56" s="214"/>
    </row>
    <row r="57" spans="1:29" s="187" customFormat="1" ht="22.5" customHeight="1" thickBot="1" x14ac:dyDescent="0.3">
      <c r="A57" s="279" t="s">
        <v>34</v>
      </c>
      <c r="B57" s="280"/>
      <c r="C57" s="280"/>
      <c r="D57" s="280"/>
      <c r="E57" s="280"/>
      <c r="F57" s="280"/>
      <c r="G57" s="280"/>
      <c r="H57" s="280"/>
      <c r="I57" s="280"/>
      <c r="J57" s="281"/>
      <c r="K57" s="185">
        <f t="shared" ref="K57:P57" si="3">K56+K48+K28</f>
        <v>43776</v>
      </c>
      <c r="L57" s="185">
        <f t="shared" si="3"/>
        <v>0</v>
      </c>
      <c r="M57" s="185">
        <f t="shared" si="3"/>
        <v>4139</v>
      </c>
      <c r="N57" s="185">
        <f t="shared" si="3"/>
        <v>14587</v>
      </c>
      <c r="O57" s="185">
        <f t="shared" si="3"/>
        <v>10779</v>
      </c>
      <c r="P57" s="185">
        <f t="shared" si="3"/>
        <v>14271</v>
      </c>
      <c r="Q57" s="186"/>
      <c r="R57" s="186"/>
      <c r="S57" s="214"/>
      <c r="T57" s="214"/>
      <c r="U57" s="214"/>
      <c r="V57" s="214"/>
      <c r="W57" s="214"/>
      <c r="X57" s="214"/>
      <c r="Y57" s="214"/>
      <c r="Z57" s="214"/>
      <c r="AA57" s="214"/>
      <c r="AB57" s="214"/>
      <c r="AC57" s="214"/>
    </row>
    <row r="58" spans="1:29" s="187" customFormat="1" ht="15.75" x14ac:dyDescent="0.25">
      <c r="A58" s="188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</row>
    <row r="59" spans="1:29" s="190" customFormat="1" ht="72" customHeight="1" x14ac:dyDescent="0.25">
      <c r="A59" s="190" t="s">
        <v>137</v>
      </c>
      <c r="G59" s="191"/>
      <c r="H59" s="191"/>
      <c r="I59" s="191"/>
      <c r="J59" s="191"/>
      <c r="K59" s="216"/>
      <c r="L59" s="191"/>
      <c r="Q59" s="191"/>
      <c r="R59" s="191"/>
    </row>
    <row r="60" spans="1:29" ht="15.75" x14ac:dyDescent="0.25">
      <c r="K60" s="191"/>
      <c r="M60" s="157"/>
      <c r="N60" s="157"/>
      <c r="O60" s="157"/>
      <c r="P60" s="157"/>
      <c r="Q60" s="157"/>
    </row>
    <row r="61" spans="1:29" ht="15.75" x14ac:dyDescent="0.25">
      <c r="A61" s="156"/>
      <c r="K61" s="157"/>
      <c r="M61" s="191">
        <f>M57/1.2</f>
        <v>3449.166666666667</v>
      </c>
      <c r="N61" s="191">
        <f>N57/1.2</f>
        <v>12155.833333333334</v>
      </c>
      <c r="O61" s="191">
        <f>O57/1.2</f>
        <v>8982.5</v>
      </c>
      <c r="P61" s="191">
        <f>P57/1.2</f>
        <v>11892.5</v>
      </c>
    </row>
  </sheetData>
  <autoFilter ref="A5:S57">
    <filterColumn colId="4" showButton="0"/>
    <filterColumn colId="5" showButton="0"/>
    <filterColumn colId="6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</autoFilter>
  <mergeCells count="94">
    <mergeCell ref="L46:L47"/>
    <mergeCell ref="M46:M47"/>
    <mergeCell ref="I24:I25"/>
    <mergeCell ref="J24:J25"/>
    <mergeCell ref="K24:K25"/>
    <mergeCell ref="L24:L25"/>
    <mergeCell ref="M24:M25"/>
    <mergeCell ref="K26:K27"/>
    <mergeCell ref="L26:L27"/>
    <mergeCell ref="M26:M27"/>
    <mergeCell ref="R24:R25"/>
    <mergeCell ref="N24:N25"/>
    <mergeCell ref="O24:O25"/>
    <mergeCell ref="P24:P25"/>
    <mergeCell ref="Q24:Q25"/>
    <mergeCell ref="N26:N27"/>
    <mergeCell ref="A36:J36"/>
    <mergeCell ref="A30:R30"/>
    <mergeCell ref="A33:R33"/>
    <mergeCell ref="A37:R37"/>
    <mergeCell ref="A28:J28"/>
    <mergeCell ref="A29:R29"/>
    <mergeCell ref="O26:O27"/>
    <mergeCell ref="I26:I27"/>
    <mergeCell ref="P26:P27"/>
    <mergeCell ref="Q26:Q27"/>
    <mergeCell ref="R26:R27"/>
    <mergeCell ref="J26:J27"/>
    <mergeCell ref="A49:R49"/>
    <mergeCell ref="A50:R50"/>
    <mergeCell ref="A53:R53"/>
    <mergeCell ref="A44:A45"/>
    <mergeCell ref="B44:B45"/>
    <mergeCell ref="C44:C45"/>
    <mergeCell ref="D44:D45"/>
    <mergeCell ref="M44:M45"/>
    <mergeCell ref="N46:N47"/>
    <mergeCell ref="N44:N45"/>
    <mergeCell ref="I44:I45"/>
    <mergeCell ref="J44:J45"/>
    <mergeCell ref="K44:K45"/>
    <mergeCell ref="L44:L45"/>
    <mergeCell ref="O44:O45"/>
    <mergeCell ref="K46:K47"/>
    <mergeCell ref="P44:P45"/>
    <mergeCell ref="Q44:Q45"/>
    <mergeCell ref="R44:R45"/>
    <mergeCell ref="A57:J57"/>
    <mergeCell ref="A56:J56"/>
    <mergeCell ref="O46:O47"/>
    <mergeCell ref="P46:P47"/>
    <mergeCell ref="Q46:Q47"/>
    <mergeCell ref="R46:R47"/>
    <mergeCell ref="A46:A47"/>
    <mergeCell ref="B46:B47"/>
    <mergeCell ref="C46:C47"/>
    <mergeCell ref="D46:D47"/>
    <mergeCell ref="I46:I47"/>
    <mergeCell ref="J46:J47"/>
    <mergeCell ref="A48:J48"/>
    <mergeCell ref="B24:B25"/>
    <mergeCell ref="A24:A25"/>
    <mergeCell ref="C24:C25"/>
    <mergeCell ref="D24:D25"/>
    <mergeCell ref="A26:A27"/>
    <mergeCell ref="B26:B27"/>
    <mergeCell ref="C26:C27"/>
    <mergeCell ref="D26:D27"/>
    <mergeCell ref="A13:R13"/>
    <mergeCell ref="A16:R16"/>
    <mergeCell ref="A19:R19"/>
    <mergeCell ref="A22:J22"/>
    <mergeCell ref="A23:R23"/>
    <mergeCell ref="R6:R7"/>
    <mergeCell ref="I5:I7"/>
    <mergeCell ref="M6:P6"/>
    <mergeCell ref="A9:R9"/>
    <mergeCell ref="A10:R10"/>
    <mergeCell ref="A1:R1"/>
    <mergeCell ref="A2:R2"/>
    <mergeCell ref="A3:R3"/>
    <mergeCell ref="A5:A7"/>
    <mergeCell ref="B5:B7"/>
    <mergeCell ref="C5:C7"/>
    <mergeCell ref="D5:D7"/>
    <mergeCell ref="E5:H5"/>
    <mergeCell ref="J5:J7"/>
    <mergeCell ref="K5:R5"/>
    <mergeCell ref="E6:E7"/>
    <mergeCell ref="F6:F7"/>
    <mergeCell ref="G6:H6"/>
    <mergeCell ref="K6:K7"/>
    <mergeCell ref="L6:L7"/>
    <mergeCell ref="Q6:Q7"/>
  </mergeCells>
  <hyperlinks>
    <hyperlink ref="A22" location="Par120" tooltip="Группа 1. Строительство, реконструкция или модернизация объектов в целях подключения потребителей:" display="Par120"/>
    <hyperlink ref="A28" location="Par269" tooltip="Группа 2. Строительство новых объектов системы централизованного теплоснабжения, не связанных с подключением новых потребителей, в том числе строительство новых тепловых сетей" display="Par269"/>
    <hyperlink ref="A36" location="Par312" tooltip="Группа 3. Реконструкция или модернизация существующих объектов в целях снижения уровня износа существующих объектов и (или) поставки энергии от разных источников" display="Par312"/>
    <hyperlink ref="A48" location="Par391" tooltip="Группа 4. Мероприятия, направленные на снижение негативного воздействия на окружающую среду, достижение плановых значений показателей надежности и энергетической эффективности объектов теплоснабжения, повышение эффективности работы систем централизованног" display="Par391"/>
    <hyperlink ref="A56" location="Par434" tooltip="Группа 5. Вывод из эксплуатации, консервация и демонтаж объектов системы централизованного теплоснабжения" display="Par434"/>
  </hyperlinks>
  <pageMargins left="0.55118110236220474" right="0.15748031496062992" top="0.35433070866141736" bottom="0.2" header="0.31496062992125984" footer="0.2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A24"/>
  <sheetViews>
    <sheetView view="pageBreakPreview" topLeftCell="A4" zoomScale="60" zoomScaleNormal="62" workbookViewId="0">
      <pane xSplit="2" ySplit="7" topLeftCell="D14" activePane="bottomRight" state="frozen"/>
      <selection activeCell="H14" sqref="H14"/>
      <selection pane="topRight" activeCell="H14" sqref="H14"/>
      <selection pane="bottomLeft" activeCell="H14" sqref="H14"/>
      <selection pane="bottomRight" activeCell="N16" sqref="N16"/>
    </sheetView>
  </sheetViews>
  <sheetFormatPr defaultRowHeight="15" x14ac:dyDescent="0.25"/>
  <cols>
    <col min="1" max="1" width="5.140625" style="175" customWidth="1"/>
    <col min="2" max="2" width="34" style="165" customWidth="1"/>
    <col min="3" max="3" width="8.28515625" style="165" customWidth="1"/>
    <col min="4" max="7" width="7.5703125" style="165" customWidth="1"/>
    <col min="8" max="8" width="9.5703125" style="165" customWidth="1"/>
    <col min="9" max="9" width="7.140625" style="165" customWidth="1"/>
    <col min="10" max="10" width="5.7109375" style="165" customWidth="1"/>
    <col min="11" max="11" width="7.85546875" style="165" customWidth="1"/>
    <col min="12" max="12" width="5.85546875" style="165" customWidth="1"/>
    <col min="13" max="13" width="9.140625" style="165" customWidth="1"/>
    <col min="14" max="17" width="8.140625" style="165" customWidth="1"/>
    <col min="18" max="22" width="8.42578125" style="165" customWidth="1"/>
    <col min="23" max="23" width="8.85546875" style="165" customWidth="1"/>
    <col min="24" max="26" width="8.7109375" style="165" customWidth="1"/>
    <col min="27" max="27" width="8.5703125" style="165" customWidth="1"/>
    <col min="28" max="16384" width="9.140625" style="165"/>
  </cols>
  <sheetData>
    <row r="1" spans="1:27" ht="18.75" x14ac:dyDescent="0.3">
      <c r="A1" s="294" t="s">
        <v>69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</row>
    <row r="2" spans="1:27" ht="18.75" x14ac:dyDescent="0.3">
      <c r="A2" s="294" t="s">
        <v>134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</row>
    <row r="3" spans="1:27" ht="18.75" x14ac:dyDescent="0.3">
      <c r="A3" s="294" t="s">
        <v>135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</row>
    <row r="5" spans="1:27" ht="15.75" thickBot="1" x14ac:dyDescent="0.3">
      <c r="A5" s="166"/>
    </row>
    <row r="6" spans="1:27" ht="15.75" thickBot="1" x14ac:dyDescent="0.3">
      <c r="A6" s="295" t="s">
        <v>0</v>
      </c>
      <c r="B6" s="299" t="s">
        <v>70</v>
      </c>
      <c r="C6" s="301" t="s">
        <v>69</v>
      </c>
      <c r="D6" s="302"/>
      <c r="E6" s="302"/>
      <c r="F6" s="302"/>
      <c r="G6" s="302"/>
      <c r="H6" s="303"/>
      <c r="I6" s="303"/>
      <c r="J6" s="303"/>
      <c r="K6" s="303"/>
      <c r="L6" s="303"/>
      <c r="M6" s="304" t="s">
        <v>71</v>
      </c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5"/>
    </row>
    <row r="7" spans="1:27" ht="66.75" customHeight="1" thickBot="1" x14ac:dyDescent="0.3">
      <c r="A7" s="298"/>
      <c r="B7" s="300"/>
      <c r="C7" s="306" t="s">
        <v>72</v>
      </c>
      <c r="D7" s="307"/>
      <c r="E7" s="307"/>
      <c r="F7" s="307"/>
      <c r="G7" s="307"/>
      <c r="H7" s="304" t="s">
        <v>73</v>
      </c>
      <c r="I7" s="303"/>
      <c r="J7" s="303"/>
      <c r="K7" s="303"/>
      <c r="L7" s="303"/>
      <c r="M7" s="304" t="s">
        <v>150</v>
      </c>
      <c r="N7" s="303"/>
      <c r="O7" s="303"/>
      <c r="P7" s="303"/>
      <c r="Q7" s="303"/>
      <c r="R7" s="304" t="s">
        <v>273</v>
      </c>
      <c r="S7" s="303"/>
      <c r="T7" s="303"/>
      <c r="U7" s="303"/>
      <c r="V7" s="308"/>
      <c r="W7" s="304" t="s">
        <v>143</v>
      </c>
      <c r="X7" s="303"/>
      <c r="Y7" s="303"/>
      <c r="Z7" s="303"/>
      <c r="AA7" s="305"/>
    </row>
    <row r="8" spans="1:27" ht="27.75" customHeight="1" x14ac:dyDescent="0.25">
      <c r="A8" s="298"/>
      <c r="B8" s="300"/>
      <c r="C8" s="295" t="s">
        <v>266</v>
      </c>
      <c r="D8" s="297" t="s">
        <v>77</v>
      </c>
      <c r="E8" s="297"/>
      <c r="F8" s="297"/>
      <c r="G8" s="297"/>
      <c r="H8" s="295" t="s">
        <v>266</v>
      </c>
      <c r="I8" s="297" t="s">
        <v>77</v>
      </c>
      <c r="J8" s="297"/>
      <c r="K8" s="297"/>
      <c r="L8" s="297"/>
      <c r="M8" s="295" t="s">
        <v>266</v>
      </c>
      <c r="N8" s="297" t="s">
        <v>77</v>
      </c>
      <c r="O8" s="297"/>
      <c r="P8" s="297"/>
      <c r="Q8" s="297"/>
      <c r="R8" s="295" t="s">
        <v>266</v>
      </c>
      <c r="S8" s="297" t="s">
        <v>77</v>
      </c>
      <c r="T8" s="297"/>
      <c r="U8" s="297"/>
      <c r="V8" s="309"/>
      <c r="W8" s="295" t="s">
        <v>266</v>
      </c>
      <c r="X8" s="297" t="s">
        <v>77</v>
      </c>
      <c r="Y8" s="297"/>
      <c r="Z8" s="297"/>
      <c r="AA8" s="310"/>
    </row>
    <row r="9" spans="1:27" ht="30.75" customHeight="1" thickBot="1" x14ac:dyDescent="0.3">
      <c r="A9" s="298"/>
      <c r="B9" s="300"/>
      <c r="C9" s="296"/>
      <c r="D9" s="167">
        <v>2019</v>
      </c>
      <c r="E9" s="167">
        <v>2020</v>
      </c>
      <c r="F9" s="167">
        <v>2021</v>
      </c>
      <c r="G9" s="167">
        <v>2022</v>
      </c>
      <c r="H9" s="296"/>
      <c r="I9" s="167">
        <v>2019</v>
      </c>
      <c r="J9" s="167">
        <v>2020</v>
      </c>
      <c r="K9" s="167">
        <v>2021</v>
      </c>
      <c r="L9" s="167">
        <v>2022</v>
      </c>
      <c r="M9" s="296"/>
      <c r="N9" s="167">
        <v>2019</v>
      </c>
      <c r="O9" s="167">
        <v>2020</v>
      </c>
      <c r="P9" s="167">
        <v>2021</v>
      </c>
      <c r="Q9" s="167">
        <v>2022</v>
      </c>
      <c r="R9" s="296"/>
      <c r="S9" s="167">
        <v>2019</v>
      </c>
      <c r="T9" s="167">
        <v>2020</v>
      </c>
      <c r="U9" s="167">
        <v>2021</v>
      </c>
      <c r="V9" s="168">
        <v>2022</v>
      </c>
      <c r="W9" s="296"/>
      <c r="X9" s="167">
        <v>2019</v>
      </c>
      <c r="Y9" s="167">
        <v>2020</v>
      </c>
      <c r="Z9" s="167">
        <v>2021</v>
      </c>
      <c r="AA9" s="169">
        <v>2022</v>
      </c>
    </row>
    <row r="10" spans="1:27" ht="15.75" thickBot="1" x14ac:dyDescent="0.3">
      <c r="A10" s="197">
        <v>1</v>
      </c>
      <c r="B10" s="170">
        <f>A10+1</f>
        <v>2</v>
      </c>
      <c r="C10" s="170">
        <f t="shared" ref="C10:AA10" si="0">B10+1</f>
        <v>3</v>
      </c>
      <c r="D10" s="170">
        <f t="shared" si="0"/>
        <v>4</v>
      </c>
      <c r="E10" s="170">
        <f t="shared" si="0"/>
        <v>5</v>
      </c>
      <c r="F10" s="170">
        <f t="shared" si="0"/>
        <v>6</v>
      </c>
      <c r="G10" s="170">
        <f t="shared" si="0"/>
        <v>7</v>
      </c>
      <c r="H10" s="170">
        <f t="shared" si="0"/>
        <v>8</v>
      </c>
      <c r="I10" s="170">
        <f t="shared" si="0"/>
        <v>9</v>
      </c>
      <c r="J10" s="170">
        <f t="shared" si="0"/>
        <v>10</v>
      </c>
      <c r="K10" s="170">
        <f t="shared" si="0"/>
        <v>11</v>
      </c>
      <c r="L10" s="170">
        <f t="shared" si="0"/>
        <v>12</v>
      </c>
      <c r="M10" s="170">
        <f t="shared" si="0"/>
        <v>13</v>
      </c>
      <c r="N10" s="170">
        <f t="shared" si="0"/>
        <v>14</v>
      </c>
      <c r="O10" s="170">
        <f t="shared" si="0"/>
        <v>15</v>
      </c>
      <c r="P10" s="170">
        <f t="shared" si="0"/>
        <v>16</v>
      </c>
      <c r="Q10" s="170">
        <f t="shared" si="0"/>
        <v>17</v>
      </c>
      <c r="R10" s="170">
        <f t="shared" si="0"/>
        <v>18</v>
      </c>
      <c r="S10" s="170">
        <f t="shared" si="0"/>
        <v>19</v>
      </c>
      <c r="T10" s="170">
        <f t="shared" si="0"/>
        <v>20</v>
      </c>
      <c r="U10" s="170">
        <f t="shared" si="0"/>
        <v>21</v>
      </c>
      <c r="V10" s="170">
        <f t="shared" si="0"/>
        <v>22</v>
      </c>
      <c r="W10" s="170">
        <f t="shared" si="0"/>
        <v>23</v>
      </c>
      <c r="X10" s="170">
        <f t="shared" si="0"/>
        <v>24</v>
      </c>
      <c r="Y10" s="170">
        <f t="shared" si="0"/>
        <v>25</v>
      </c>
      <c r="Z10" s="170">
        <f t="shared" si="0"/>
        <v>26</v>
      </c>
      <c r="AA10" s="170">
        <f t="shared" si="0"/>
        <v>27</v>
      </c>
    </row>
    <row r="11" spans="1:27" ht="93" customHeight="1" x14ac:dyDescent="0.25">
      <c r="A11" s="158">
        <v>1</v>
      </c>
      <c r="B11" s="159" t="str">
        <f>'4.1'!B2:O2</f>
        <v xml:space="preserve">4.1. Реконструкция подземного  участка  теплотрассы в мкр.АЗМР протяженностью 156 м.п. от  ТК-23; 24;25;26; до ТК-37А  в четырехтрубном исполнении.  Труба  стальная Д159 мм и Д108 мм  в  ППУ изоляции </v>
      </c>
      <c r="C11" s="171">
        <v>0</v>
      </c>
      <c r="D11" s="172">
        <v>0</v>
      </c>
      <c r="E11" s="160">
        <v>0</v>
      </c>
      <c r="F11" s="160">
        <v>0</v>
      </c>
      <c r="G11" s="160">
        <v>0</v>
      </c>
      <c r="H11" s="158" t="s">
        <v>229</v>
      </c>
      <c r="I11" s="160" t="s">
        <v>229</v>
      </c>
      <c r="J11" s="160" t="s">
        <v>229</v>
      </c>
      <c r="K11" s="160" t="s">
        <v>229</v>
      </c>
      <c r="L11" s="160" t="s">
        <v>229</v>
      </c>
      <c r="M11" s="158" t="s">
        <v>229</v>
      </c>
      <c r="N11" s="160" t="s">
        <v>229</v>
      </c>
      <c r="O11" s="160" t="s">
        <v>229</v>
      </c>
      <c r="P11" s="160" t="s">
        <v>229</v>
      </c>
      <c r="Q11" s="160" t="s">
        <v>229</v>
      </c>
      <c r="R11" s="223">
        <f>'4.1'!K5</f>
        <v>5.2723582917461522</v>
      </c>
      <c r="S11" s="224">
        <f>R11</f>
        <v>5.2723582917461522</v>
      </c>
      <c r="T11" s="224">
        <f>S11</f>
        <v>5.2723582917461522</v>
      </c>
      <c r="U11" s="224">
        <f>T11</f>
        <v>5.2723582917461522</v>
      </c>
      <c r="V11" s="225">
        <f>(U11+'4.1'!K9)/2</f>
        <v>4.3936319097884606</v>
      </c>
      <c r="W11" s="226">
        <f>'4.1'!M5</f>
        <v>180.02368799999999</v>
      </c>
      <c r="X11" s="224">
        <f t="shared" ref="X11:Z13" si="1">W11</f>
        <v>180.02368799999999</v>
      </c>
      <c r="Y11" s="224">
        <f t="shared" si="1"/>
        <v>180.02368799999999</v>
      </c>
      <c r="Z11" s="224">
        <f t="shared" si="1"/>
        <v>180.02368799999999</v>
      </c>
      <c r="AA11" s="227">
        <f>(W11+'4.1'!M9)/2</f>
        <v>150.01973999999998</v>
      </c>
    </row>
    <row r="12" spans="1:27" ht="90" customHeight="1" x14ac:dyDescent="0.25">
      <c r="A12" s="158">
        <v>2</v>
      </c>
      <c r="B12" s="159" t="str">
        <f>'4.2'!B2:Q2</f>
        <v>4.2. Реконструкция подземного участка теплотрассы  по ул. Мира от СОШ №3 до ТК 37 протяженностью 468 м.п. в двухтрубном исполнении диаметром Д 159 мм. Сталь в ППУ изоляции</v>
      </c>
      <c r="C12" s="171">
        <v>0</v>
      </c>
      <c r="D12" s="172">
        <v>0</v>
      </c>
      <c r="E12" s="160">
        <v>0</v>
      </c>
      <c r="F12" s="160">
        <v>0</v>
      </c>
      <c r="G12" s="160">
        <v>0</v>
      </c>
      <c r="H12" s="158" t="s">
        <v>229</v>
      </c>
      <c r="I12" s="160" t="s">
        <v>229</v>
      </c>
      <c r="J12" s="160" t="s">
        <v>229</v>
      </c>
      <c r="K12" s="160" t="s">
        <v>229</v>
      </c>
      <c r="L12" s="160" t="s">
        <v>229</v>
      </c>
      <c r="M12" s="158" t="s">
        <v>229</v>
      </c>
      <c r="N12" s="160" t="s">
        <v>229</v>
      </c>
      <c r="O12" s="160" t="s">
        <v>229</v>
      </c>
      <c r="P12" s="160" t="s">
        <v>229</v>
      </c>
      <c r="Q12" s="160" t="s">
        <v>229</v>
      </c>
      <c r="R12" s="223">
        <f>'4.2'!K5</f>
        <v>3.1662637025785716</v>
      </c>
      <c r="S12" s="224">
        <f>R12</f>
        <v>3.1662637025785716</v>
      </c>
      <c r="T12" s="224">
        <f>(S12+U12)/2</f>
        <v>3.2877333719864552</v>
      </c>
      <c r="U12" s="224">
        <f>V12</f>
        <v>3.4092030413943388</v>
      </c>
      <c r="V12" s="225">
        <f>'4.2'!K10</f>
        <v>3.4092030413943388</v>
      </c>
      <c r="W12" s="226">
        <f>'4.2'!M5</f>
        <v>299.25249120000001</v>
      </c>
      <c r="X12" s="224">
        <f t="shared" si="1"/>
        <v>299.25249120000001</v>
      </c>
      <c r="Y12" s="224">
        <f>(X12+Z12)/2</f>
        <v>254.09900879999998</v>
      </c>
      <c r="Z12" s="224">
        <f>'4.2'!M10</f>
        <v>208.94552639999998</v>
      </c>
      <c r="AA12" s="227">
        <f>Z12</f>
        <v>208.94552639999998</v>
      </c>
    </row>
    <row r="13" spans="1:27" ht="120" customHeight="1" x14ac:dyDescent="0.25">
      <c r="A13" s="158">
        <v>3</v>
      </c>
      <c r="B13" s="159" t="str">
        <f>'4.3'!B2:Q2</f>
        <v>4.3. Реконструкция подземного участка теплотрассы от котельной по адресу ул. Советская д. 7б (мкр. Октябрьский). БМК-ТК8-ТК9-ТК10-ТК11 протяженностью 283 м.п. в двухтрубном исполнении диаметром Д 159 мм в Ппу изоляции со строительством тепловой камеры</v>
      </c>
      <c r="C13" s="158">
        <v>0</v>
      </c>
      <c r="D13" s="160">
        <v>0</v>
      </c>
      <c r="E13" s="160">
        <v>0</v>
      </c>
      <c r="F13" s="160">
        <v>0</v>
      </c>
      <c r="G13" s="160">
        <v>0</v>
      </c>
      <c r="H13" s="158" t="s">
        <v>229</v>
      </c>
      <c r="I13" s="160" t="s">
        <v>229</v>
      </c>
      <c r="J13" s="160" t="s">
        <v>229</v>
      </c>
      <c r="K13" s="160" t="s">
        <v>229</v>
      </c>
      <c r="L13" s="160" t="s">
        <v>229</v>
      </c>
      <c r="M13" s="158" t="s">
        <v>229</v>
      </c>
      <c r="N13" s="160" t="s">
        <v>229</v>
      </c>
      <c r="O13" s="160" t="s">
        <v>229</v>
      </c>
      <c r="P13" s="160" t="s">
        <v>229</v>
      </c>
      <c r="Q13" s="160" t="s">
        <v>229</v>
      </c>
      <c r="R13" s="223">
        <f>'4.3'!K5</f>
        <v>3.7481342585382715</v>
      </c>
      <c r="S13" s="224">
        <f>R13</f>
        <v>3.7481342585382715</v>
      </c>
      <c r="T13" s="224">
        <f>S13</f>
        <v>3.7481342585382715</v>
      </c>
      <c r="U13" s="224">
        <f>T13</f>
        <v>3.7481342585382715</v>
      </c>
      <c r="V13" s="225">
        <f>(U13+'4.3'!K9)/2</f>
        <v>3.5786686499663061</v>
      </c>
      <c r="W13" s="226">
        <f>'4.3'!M5</f>
        <v>252.01500192</v>
      </c>
      <c r="X13" s="224">
        <f>W13</f>
        <v>252.01500192</v>
      </c>
      <c r="Y13" s="224">
        <f t="shared" si="1"/>
        <v>252.01500192</v>
      </c>
      <c r="Z13" s="224">
        <f t="shared" si="1"/>
        <v>252.01500192</v>
      </c>
      <c r="AA13" s="227">
        <f>(Z13+'4.3'!M9)/2</f>
        <v>189.18227016</v>
      </c>
    </row>
    <row r="14" spans="1:27" ht="102" x14ac:dyDescent="0.25">
      <c r="A14" s="158">
        <v>4</v>
      </c>
      <c r="B14" s="159" t="str">
        <f>'4.4.'!B2:Q2</f>
        <v>4.4. Реконструкция  участка подземной  теплотрассы в мкр. АЗМР от ж/дома № 35 до ТК-46 протяженностью 119 м.п. в 4-х трубном исполнении, трубы  сталные  в ППУ изоляции Д=273 мм; Д=219 мм; Д=159 мм  в г. Скопине  Рязанской  области.</v>
      </c>
      <c r="C14" s="158">
        <v>0</v>
      </c>
      <c r="D14" s="160">
        <v>0</v>
      </c>
      <c r="E14" s="160">
        <v>0</v>
      </c>
      <c r="F14" s="160">
        <v>0</v>
      </c>
      <c r="G14" s="160">
        <v>0</v>
      </c>
      <c r="H14" s="158" t="s">
        <v>229</v>
      </c>
      <c r="I14" s="160" t="s">
        <v>229</v>
      </c>
      <c r="J14" s="160" t="s">
        <v>229</v>
      </c>
      <c r="K14" s="160" t="s">
        <v>229</v>
      </c>
      <c r="L14" s="160" t="s">
        <v>229</v>
      </c>
      <c r="M14" s="158" t="s">
        <v>229</v>
      </c>
      <c r="N14" s="160" t="s">
        <v>229</v>
      </c>
      <c r="O14" s="160" t="s">
        <v>229</v>
      </c>
      <c r="P14" s="160" t="s">
        <v>229</v>
      </c>
      <c r="Q14" s="160" t="s">
        <v>229</v>
      </c>
      <c r="R14" s="223">
        <f>'4.4.'!K5</f>
        <v>2.8417006328287577</v>
      </c>
      <c r="S14" s="224">
        <f>(R14+T14)/2</f>
        <v>2.9087754746215682</v>
      </c>
      <c r="T14" s="224">
        <f>(R14+U14)/2</f>
        <v>2.9758503164143786</v>
      </c>
      <c r="U14" s="224">
        <f>V14</f>
        <v>3.11</v>
      </c>
      <c r="V14" s="225">
        <v>3.11</v>
      </c>
      <c r="W14" s="226">
        <f>'4.4.'!M5</f>
        <v>329.12275199999999</v>
      </c>
      <c r="X14" s="224">
        <f>W14</f>
        <v>329.12275199999999</v>
      </c>
      <c r="Y14" s="224">
        <f>X14/7*4+Z14/7*3</f>
        <v>266.15608079999998</v>
      </c>
      <c r="Z14" s="224">
        <f>'4.4.'!M10</f>
        <v>182.20051919999995</v>
      </c>
      <c r="AA14" s="227">
        <f>Z14</f>
        <v>182.20051919999995</v>
      </c>
    </row>
    <row r="15" spans="1:27" ht="85.5" customHeight="1" x14ac:dyDescent="0.25">
      <c r="A15" s="158">
        <v>5</v>
      </c>
      <c r="B15" s="159" t="str">
        <f>'4.5.'!B2:Q2</f>
        <v xml:space="preserve">4.5. Реконструкция участка наружной теплотрассы протяженностью 236 м.п. в 2-х трубном исполнении с 2-мя компенсаторами из стальных труб диаметром д 159 мм, Д 108 мм в ППУ изоляции. г. Скопин мкр. Заречный </v>
      </c>
      <c r="C15" s="158">
        <v>0</v>
      </c>
      <c r="D15" s="160">
        <v>0</v>
      </c>
      <c r="E15" s="160">
        <v>0</v>
      </c>
      <c r="F15" s="160">
        <v>0</v>
      </c>
      <c r="G15" s="160">
        <v>0</v>
      </c>
      <c r="H15" s="158" t="s">
        <v>229</v>
      </c>
      <c r="I15" s="160" t="s">
        <v>229</v>
      </c>
      <c r="J15" s="160" t="s">
        <v>229</v>
      </c>
      <c r="K15" s="160" t="s">
        <v>229</v>
      </c>
      <c r="L15" s="160" t="s">
        <v>229</v>
      </c>
      <c r="M15" s="158" t="s">
        <v>229</v>
      </c>
      <c r="N15" s="160" t="s">
        <v>229</v>
      </c>
      <c r="O15" s="160" t="s">
        <v>229</v>
      </c>
      <c r="P15" s="160" t="s">
        <v>229</v>
      </c>
      <c r="Q15" s="160" t="s">
        <v>229</v>
      </c>
      <c r="R15" s="162">
        <f>'4.5.'!K5</f>
        <v>1.3301961288461535</v>
      </c>
      <c r="S15" s="163">
        <f>R15</f>
        <v>1.3301961288461535</v>
      </c>
      <c r="T15" s="163">
        <f>S15</f>
        <v>1.3301961288461535</v>
      </c>
      <c r="U15" s="163">
        <f>T15</f>
        <v>1.3301961288461535</v>
      </c>
      <c r="V15" s="208">
        <f>(U15+'4.5.'!K9)/2</f>
        <v>1.5200980644230766</v>
      </c>
      <c r="W15" s="210">
        <f>'4.5.'!M5</f>
        <v>512.67779999999993</v>
      </c>
      <c r="X15" s="163">
        <f>W15</f>
        <v>512.67779999999993</v>
      </c>
      <c r="Y15" s="163">
        <f>X15</f>
        <v>512.67779999999993</v>
      </c>
      <c r="Z15" s="163">
        <f>Y15</f>
        <v>512.67779999999993</v>
      </c>
      <c r="AA15" s="164">
        <f>(W15+'4.5.'!M9)/2</f>
        <v>311.14889999999997</v>
      </c>
    </row>
    <row r="16" spans="1:27" ht="51" x14ac:dyDescent="0.25">
      <c r="A16" s="158">
        <v>6</v>
      </c>
      <c r="B16" s="159" t="str">
        <f>CONCATENATE(ИП!A43," ",ИП!B43)</f>
        <v>4.6. Техническое перевооружение кирпичной дымовой трубы по  адресу: Рязанская область г. Скопин мкр. Автозаводской д. 4"</v>
      </c>
      <c r="C16" s="158">
        <v>0</v>
      </c>
      <c r="D16" s="160">
        <v>0</v>
      </c>
      <c r="E16" s="160">
        <v>0</v>
      </c>
      <c r="F16" s="160">
        <v>0</v>
      </c>
      <c r="G16" s="160">
        <v>0</v>
      </c>
      <c r="H16" s="158" t="s">
        <v>229</v>
      </c>
      <c r="I16" s="160" t="s">
        <v>229</v>
      </c>
      <c r="J16" s="160" t="s">
        <v>229</v>
      </c>
      <c r="K16" s="160" t="s">
        <v>229</v>
      </c>
      <c r="L16" s="160" t="s">
        <v>229</v>
      </c>
      <c r="M16" s="158">
        <v>161.75</v>
      </c>
      <c r="N16" s="160">
        <f>M16*0.985</f>
        <v>159.32374999999999</v>
      </c>
      <c r="O16" s="160">
        <f>N16</f>
        <v>159.32374999999999</v>
      </c>
      <c r="P16" s="160">
        <f t="shared" ref="P16:Q16" si="2">O16</f>
        <v>159.32374999999999</v>
      </c>
      <c r="Q16" s="160">
        <f t="shared" si="2"/>
        <v>159.32374999999999</v>
      </c>
      <c r="R16" s="158" t="s">
        <v>229</v>
      </c>
      <c r="S16" s="160" t="s">
        <v>229</v>
      </c>
      <c r="T16" s="160" t="s">
        <v>229</v>
      </c>
      <c r="U16" s="160" t="s">
        <v>229</v>
      </c>
      <c r="V16" s="173" t="s">
        <v>229</v>
      </c>
      <c r="W16" s="158" t="s">
        <v>229</v>
      </c>
      <c r="X16" s="160" t="s">
        <v>229</v>
      </c>
      <c r="Y16" s="160" t="s">
        <v>229</v>
      </c>
      <c r="Z16" s="160" t="s">
        <v>229</v>
      </c>
      <c r="AA16" s="161" t="s">
        <v>229</v>
      </c>
    </row>
    <row r="17" spans="1:27" ht="41.25" customHeight="1" x14ac:dyDescent="0.25">
      <c r="A17" s="158">
        <v>7</v>
      </c>
      <c r="B17" s="159" t="str">
        <f>CONCATENATE(ИП!A44," ",ИП!B44)</f>
        <v>4.7. Техническое перевооружение котельной по ул. Пролетарская д. 6а</v>
      </c>
      <c r="C17" s="158">
        <v>0</v>
      </c>
      <c r="D17" s="160">
        <v>0</v>
      </c>
      <c r="E17" s="160">
        <v>0</v>
      </c>
      <c r="F17" s="160">
        <v>0</v>
      </c>
      <c r="G17" s="160">
        <v>0</v>
      </c>
      <c r="H17" s="158" t="s">
        <v>229</v>
      </c>
      <c r="I17" s="160" t="s">
        <v>229</v>
      </c>
      <c r="J17" s="160" t="s">
        <v>229</v>
      </c>
      <c r="K17" s="160" t="s">
        <v>229</v>
      </c>
      <c r="L17" s="160" t="s">
        <v>229</v>
      </c>
      <c r="M17" s="158">
        <v>173.49</v>
      </c>
      <c r="N17" s="160">
        <f>M17</f>
        <v>173.49</v>
      </c>
      <c r="O17" s="160">
        <f t="shared" ref="O17:P17" si="3">N17</f>
        <v>173.49</v>
      </c>
      <c r="P17" s="160">
        <f t="shared" si="3"/>
        <v>173.49</v>
      </c>
      <c r="Q17" s="160">
        <v>167</v>
      </c>
      <c r="R17" s="158" t="s">
        <v>229</v>
      </c>
      <c r="S17" s="160" t="s">
        <v>229</v>
      </c>
      <c r="T17" s="160" t="s">
        <v>229</v>
      </c>
      <c r="U17" s="160" t="s">
        <v>229</v>
      </c>
      <c r="V17" s="173" t="s">
        <v>229</v>
      </c>
      <c r="W17" s="158" t="s">
        <v>229</v>
      </c>
      <c r="X17" s="160" t="s">
        <v>229</v>
      </c>
      <c r="Y17" s="160" t="s">
        <v>229</v>
      </c>
      <c r="Z17" s="160" t="s">
        <v>229</v>
      </c>
      <c r="AA17" s="161" t="s">
        <v>229</v>
      </c>
    </row>
    <row r="18" spans="1:27" ht="44.25" customHeight="1" thickBot="1" x14ac:dyDescent="0.3">
      <c r="A18" s="181">
        <v>8</v>
      </c>
      <c r="B18" s="182" t="str">
        <f>CONCATENATE(ИП!A46," ",ИП!B46)</f>
        <v>4.8. Разработка проекта технического перевооружения котельной по ул. Орджоникидзе д. 137-б</v>
      </c>
      <c r="C18" s="181">
        <v>0</v>
      </c>
      <c r="D18" s="183">
        <v>0</v>
      </c>
      <c r="E18" s="183">
        <v>0</v>
      </c>
      <c r="F18" s="183">
        <v>0</v>
      </c>
      <c r="G18" s="183">
        <v>0</v>
      </c>
      <c r="H18" s="181" t="s">
        <v>229</v>
      </c>
      <c r="I18" s="183" t="s">
        <v>229</v>
      </c>
      <c r="J18" s="183" t="s">
        <v>229</v>
      </c>
      <c r="K18" s="183" t="s">
        <v>229</v>
      </c>
      <c r="L18" s="183" t="s">
        <v>229</v>
      </c>
      <c r="M18" s="181" t="s">
        <v>229</v>
      </c>
      <c r="N18" s="183" t="s">
        <v>229</v>
      </c>
      <c r="O18" s="183" t="s">
        <v>229</v>
      </c>
      <c r="P18" s="183" t="s">
        <v>229</v>
      </c>
      <c r="Q18" s="183" t="s">
        <v>229</v>
      </c>
      <c r="R18" s="181" t="s">
        <v>229</v>
      </c>
      <c r="S18" s="183" t="s">
        <v>229</v>
      </c>
      <c r="T18" s="183" t="s">
        <v>229</v>
      </c>
      <c r="U18" s="183" t="s">
        <v>229</v>
      </c>
      <c r="V18" s="209" t="s">
        <v>229</v>
      </c>
      <c r="W18" s="181" t="s">
        <v>229</v>
      </c>
      <c r="X18" s="183" t="s">
        <v>229</v>
      </c>
      <c r="Y18" s="183" t="s">
        <v>229</v>
      </c>
      <c r="Z18" s="183" t="s">
        <v>229</v>
      </c>
      <c r="AA18" s="184" t="s">
        <v>229</v>
      </c>
    </row>
    <row r="19" spans="1:27" s="179" customFormat="1" ht="60.75" customHeight="1" x14ac:dyDescent="0.3">
      <c r="A19" s="176" t="s">
        <v>136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8"/>
      <c r="N19" s="178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</row>
    <row r="20" spans="1:27" ht="26.25" customHeight="1" x14ac:dyDescent="0.25">
      <c r="A20" s="166"/>
    </row>
    <row r="23" spans="1:27" x14ac:dyDescent="0.25">
      <c r="A23" s="166"/>
      <c r="O23" s="174"/>
      <c r="P23" s="174"/>
      <c r="Q23" s="174"/>
    </row>
    <row r="24" spans="1:27" x14ac:dyDescent="0.25">
      <c r="A24" s="166"/>
    </row>
  </sheetData>
  <mergeCells count="22">
    <mergeCell ref="S8:V8"/>
    <mergeCell ref="W8:W9"/>
    <mergeCell ref="X8:AA8"/>
    <mergeCell ref="D8:G8"/>
    <mergeCell ref="H8:H9"/>
    <mergeCell ref="I8:L8"/>
    <mergeCell ref="A1:AA1"/>
    <mergeCell ref="A2:AA2"/>
    <mergeCell ref="A3:AA3"/>
    <mergeCell ref="M8:M9"/>
    <mergeCell ref="N8:Q8"/>
    <mergeCell ref="R8:R9"/>
    <mergeCell ref="A6:A9"/>
    <mergeCell ref="B6:B9"/>
    <mergeCell ref="C6:L6"/>
    <mergeCell ref="M6:AA6"/>
    <mergeCell ref="C7:G7"/>
    <mergeCell ref="H7:L7"/>
    <mergeCell ref="M7:Q7"/>
    <mergeCell ref="R7:V7"/>
    <mergeCell ref="W7:AA7"/>
    <mergeCell ref="C8:C9"/>
  </mergeCells>
  <pageMargins left="0.23622047244094491" right="0.23622047244094491" top="0.27559055118110237" bottom="0.27559055118110237" header="0.31496062992125984" footer="0.31496062992125984"/>
  <pageSetup paperSize="9"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28"/>
  <sheetViews>
    <sheetView view="pageBreakPreview" topLeftCell="A6" zoomScale="91" zoomScaleNormal="100" zoomScaleSheetLayoutView="91" workbookViewId="0">
      <selection activeCell="G15" sqref="G15"/>
    </sheetView>
  </sheetViews>
  <sheetFormatPr defaultColWidth="8.85546875" defaultRowHeight="15" x14ac:dyDescent="0.25"/>
  <cols>
    <col min="1" max="1" width="5.42578125" style="9" customWidth="1"/>
    <col min="2" max="2" width="25.140625" bestFit="1" customWidth="1"/>
    <col min="3" max="3" width="11.140625" customWidth="1"/>
    <col min="4" max="4" width="7.7109375" customWidth="1"/>
    <col min="5" max="5" width="7.85546875" customWidth="1"/>
    <col min="6" max="6" width="8.140625" customWidth="1"/>
    <col min="7" max="7" width="7.42578125" customWidth="1"/>
    <col min="8" max="8" width="8" customWidth="1"/>
    <col min="9" max="9" width="7.85546875" customWidth="1"/>
    <col min="10" max="10" width="15.5703125" customWidth="1"/>
  </cols>
  <sheetData>
    <row r="2" spans="1:9" x14ac:dyDescent="0.25">
      <c r="A2" s="252" t="s">
        <v>78</v>
      </c>
      <c r="B2" s="252"/>
      <c r="C2" s="252"/>
      <c r="D2" s="252"/>
      <c r="E2" s="252"/>
      <c r="F2" s="252"/>
      <c r="G2" s="252"/>
    </row>
    <row r="3" spans="1:9" x14ac:dyDescent="0.25">
      <c r="A3" s="20"/>
      <c r="B3" s="16"/>
      <c r="C3" s="16"/>
      <c r="D3" s="16"/>
      <c r="E3" s="16"/>
      <c r="F3" s="16"/>
      <c r="G3" s="16"/>
    </row>
    <row r="4" spans="1:9" x14ac:dyDescent="0.25">
      <c r="A4" s="20" t="s">
        <v>79</v>
      </c>
      <c r="B4" s="16" t="s">
        <v>130</v>
      </c>
      <c r="C4" s="16"/>
      <c r="D4" s="16"/>
      <c r="E4" s="16"/>
      <c r="F4" s="16"/>
      <c r="G4" s="16"/>
    </row>
    <row r="5" spans="1:9" x14ac:dyDescent="0.25">
      <c r="A5" s="20"/>
      <c r="B5" s="16"/>
      <c r="C5" s="16"/>
      <c r="D5" s="16"/>
      <c r="E5" s="16"/>
      <c r="F5" s="16"/>
      <c r="G5" s="16"/>
    </row>
    <row r="6" spans="1:9" x14ac:dyDescent="0.25">
      <c r="A6" s="20" t="s">
        <v>283</v>
      </c>
      <c r="B6" s="16"/>
    </row>
    <row r="7" spans="1:9" x14ac:dyDescent="0.25">
      <c r="A7" s="10"/>
    </row>
    <row r="8" spans="1:9" ht="15.75" thickBot="1" x14ac:dyDescent="0.3">
      <c r="A8" s="11"/>
    </row>
    <row r="9" spans="1:9" s="119" customFormat="1" ht="30" customHeight="1" thickBot="1" x14ac:dyDescent="0.3">
      <c r="A9" s="311" t="s">
        <v>0</v>
      </c>
      <c r="B9" s="314" t="s">
        <v>80</v>
      </c>
      <c r="C9" s="319" t="s">
        <v>292</v>
      </c>
      <c r="D9" s="320"/>
      <c r="E9" s="320"/>
      <c r="F9" s="320"/>
      <c r="G9" s="320"/>
      <c r="H9" s="320"/>
      <c r="I9" s="320"/>
    </row>
    <row r="10" spans="1:9" s="119" customFormat="1" ht="15.75" customHeight="1" thickBot="1" x14ac:dyDescent="0.3">
      <c r="A10" s="312"/>
      <c r="B10" s="315"/>
      <c r="C10" s="317" t="s">
        <v>81</v>
      </c>
      <c r="D10" s="318"/>
      <c r="E10" s="314" t="s">
        <v>10</v>
      </c>
      <c r="F10" s="319" t="s">
        <v>82</v>
      </c>
      <c r="G10" s="320"/>
      <c r="H10" s="320"/>
      <c r="I10" s="320"/>
    </row>
    <row r="11" spans="1:9" s="119" customFormat="1" ht="64.5" thickBot="1" x14ac:dyDescent="0.3">
      <c r="A11" s="313"/>
      <c r="B11" s="316"/>
      <c r="C11" s="153" t="s">
        <v>125</v>
      </c>
      <c r="D11" s="120" t="s">
        <v>129</v>
      </c>
      <c r="E11" s="316"/>
      <c r="F11" s="180">
        <v>2019</v>
      </c>
      <c r="G11" s="154">
        <v>2020</v>
      </c>
      <c r="H11" s="154">
        <v>2021</v>
      </c>
      <c r="I11" s="154">
        <v>2022</v>
      </c>
    </row>
    <row r="12" spans="1:9" ht="15.75" customHeight="1" thickBot="1" x14ac:dyDescent="0.3">
      <c r="A12" s="12">
        <v>1</v>
      </c>
      <c r="B12" s="2">
        <v>2</v>
      </c>
      <c r="C12" s="35">
        <v>3</v>
      </c>
      <c r="D12" s="2">
        <v>4</v>
      </c>
      <c r="E12" s="2">
        <v>5</v>
      </c>
      <c r="F12" s="2">
        <v>6</v>
      </c>
      <c r="G12" s="2">
        <v>9</v>
      </c>
      <c r="H12" s="2">
        <v>12</v>
      </c>
      <c r="I12" s="2">
        <v>13</v>
      </c>
    </row>
    <row r="13" spans="1:9" ht="15.75" thickBot="1" x14ac:dyDescent="0.3">
      <c r="A13" s="14" t="s">
        <v>83</v>
      </c>
      <c r="B13" s="4" t="s">
        <v>84</v>
      </c>
      <c r="C13" s="146">
        <f>E13</f>
        <v>37088</v>
      </c>
      <c r="D13" s="147"/>
      <c r="E13" s="147">
        <f>SUM(F13:I13)</f>
        <v>37088</v>
      </c>
      <c r="F13" s="147">
        <f>ROUND(ИП!M24/1.2+ИП!M43,0)</f>
        <v>4056</v>
      </c>
      <c r="G13" s="147">
        <f>ROUND(ИП!N57/1.2,0)</f>
        <v>12156</v>
      </c>
      <c r="H13" s="147">
        <f>ROUND(ИП!O57/1.2,0)</f>
        <v>8983</v>
      </c>
      <c r="I13" s="147">
        <f>ROUND(ИП!P57/1.2,0)</f>
        <v>11893</v>
      </c>
    </row>
    <row r="14" spans="1:9" ht="26.25" thickBot="1" x14ac:dyDescent="0.3">
      <c r="A14" s="15" t="s">
        <v>85</v>
      </c>
      <c r="B14" s="4" t="s">
        <v>86</v>
      </c>
      <c r="C14" s="146">
        <f t="shared" ref="C14:C15" si="0">E14</f>
        <v>29995</v>
      </c>
      <c r="D14" s="147"/>
      <c r="E14" s="147">
        <f>SUM(F14:I14)</f>
        <v>29995</v>
      </c>
      <c r="F14" s="147">
        <v>4056</v>
      </c>
      <c r="G14" s="147">
        <v>8733</v>
      </c>
      <c r="H14" s="147">
        <v>8639</v>
      </c>
      <c r="I14" s="147">
        <v>8567</v>
      </c>
    </row>
    <row r="15" spans="1:9" ht="26.25" thickBot="1" x14ac:dyDescent="0.3">
      <c r="A15" s="15" t="s">
        <v>87</v>
      </c>
      <c r="B15" s="4" t="s">
        <v>88</v>
      </c>
      <c r="C15" s="146">
        <f t="shared" si="0"/>
        <v>7093</v>
      </c>
      <c r="D15" s="147"/>
      <c r="E15" s="147">
        <f>SUM(F15:I15)</f>
        <v>7093</v>
      </c>
      <c r="F15" s="147"/>
      <c r="G15" s="147">
        <f>G13-G14</f>
        <v>3423</v>
      </c>
      <c r="H15" s="147">
        <f>H13-H14</f>
        <v>344</v>
      </c>
      <c r="I15" s="147">
        <f>I13-I14</f>
        <v>3326</v>
      </c>
    </row>
    <row r="16" spans="1:9" ht="42.75" customHeight="1" thickBot="1" x14ac:dyDescent="0.3">
      <c r="A16" s="15" t="s">
        <v>89</v>
      </c>
      <c r="B16" s="4" t="s">
        <v>90</v>
      </c>
      <c r="C16" s="7"/>
      <c r="D16" s="4"/>
      <c r="E16" s="4"/>
      <c r="F16" s="4"/>
      <c r="G16" s="4"/>
      <c r="H16" s="4"/>
      <c r="I16" s="4"/>
    </row>
    <row r="17" spans="1:10" ht="39" thickBot="1" x14ac:dyDescent="0.3">
      <c r="A17" s="15" t="s">
        <v>91</v>
      </c>
      <c r="B17" s="4" t="s">
        <v>92</v>
      </c>
      <c r="C17" s="7"/>
      <c r="D17" s="4"/>
      <c r="E17" s="4"/>
      <c r="F17" s="4"/>
      <c r="G17" s="4"/>
      <c r="H17" s="4"/>
      <c r="I17" s="4"/>
    </row>
    <row r="18" spans="1:10" ht="15.75" thickBot="1" x14ac:dyDescent="0.3">
      <c r="A18" s="12" t="s">
        <v>93</v>
      </c>
      <c r="B18" s="4" t="s">
        <v>94</v>
      </c>
      <c r="C18" s="7"/>
      <c r="D18" s="4"/>
      <c r="E18" s="4"/>
      <c r="F18" s="4"/>
      <c r="G18" s="4"/>
      <c r="H18" s="4"/>
      <c r="I18" s="4"/>
    </row>
    <row r="19" spans="1:10" ht="15.75" thickBot="1" x14ac:dyDescent="0.3">
      <c r="A19" s="12" t="s">
        <v>95</v>
      </c>
      <c r="B19" s="4" t="s">
        <v>96</v>
      </c>
      <c r="C19" s="7"/>
      <c r="D19" s="4"/>
      <c r="E19" s="4"/>
      <c r="F19" s="4"/>
      <c r="G19" s="4"/>
      <c r="H19" s="4"/>
      <c r="I19" s="4"/>
    </row>
    <row r="20" spans="1:10" ht="15.75" thickBot="1" x14ac:dyDescent="0.3">
      <c r="A20" s="12" t="s">
        <v>97</v>
      </c>
      <c r="B20" s="4" t="s">
        <v>98</v>
      </c>
      <c r="C20" s="7"/>
      <c r="D20" s="4"/>
      <c r="E20" s="4"/>
      <c r="F20" s="4"/>
      <c r="G20" s="4"/>
      <c r="H20" s="4"/>
      <c r="I20" s="4"/>
    </row>
    <row r="21" spans="1:10" ht="26.25" thickBot="1" x14ac:dyDescent="0.3">
      <c r="A21" s="12" t="s">
        <v>99</v>
      </c>
      <c r="B21" s="4" t="s">
        <v>100</v>
      </c>
      <c r="C21" s="7"/>
      <c r="D21" s="4"/>
      <c r="E21" s="4"/>
      <c r="F21" s="4"/>
      <c r="G21" s="4"/>
      <c r="H21" s="4"/>
      <c r="I21" s="4"/>
    </row>
    <row r="22" spans="1:10" ht="26.25" thickBot="1" x14ac:dyDescent="0.3">
      <c r="A22" s="12" t="s">
        <v>101</v>
      </c>
      <c r="B22" s="4" t="s">
        <v>102</v>
      </c>
      <c r="C22" s="7"/>
      <c r="D22" s="4"/>
      <c r="E22" s="4"/>
      <c r="F22" s="4"/>
      <c r="G22" s="4"/>
      <c r="H22" s="4"/>
      <c r="I22" s="4"/>
    </row>
    <row r="23" spans="1:10" ht="39" thickBot="1" x14ac:dyDescent="0.3">
      <c r="A23" s="12" t="s">
        <v>103</v>
      </c>
      <c r="B23" s="4" t="s">
        <v>104</v>
      </c>
      <c r="C23" s="7"/>
      <c r="D23" s="4"/>
      <c r="E23" s="4"/>
      <c r="F23" s="4"/>
      <c r="G23" s="4"/>
      <c r="H23" s="4"/>
      <c r="I23" s="4"/>
    </row>
    <row r="24" spans="1:10" s="16" customFormat="1" ht="15.75" thickBot="1" x14ac:dyDescent="0.3">
      <c r="A24" s="22"/>
      <c r="B24" s="23" t="s">
        <v>34</v>
      </c>
      <c r="C24" s="148">
        <f>C13</f>
        <v>37088</v>
      </c>
      <c r="D24" s="149"/>
      <c r="E24" s="149">
        <f>E13</f>
        <v>37088</v>
      </c>
      <c r="F24" s="149">
        <f t="shared" ref="F24:I24" si="1">F13</f>
        <v>4056</v>
      </c>
      <c r="G24" s="149">
        <f t="shared" si="1"/>
        <v>12156</v>
      </c>
      <c r="H24" s="149">
        <f t="shared" si="1"/>
        <v>8983</v>
      </c>
      <c r="I24" s="149">
        <f t="shared" si="1"/>
        <v>11893</v>
      </c>
      <c r="J24" s="16">
        <f>C24*1.2</f>
        <v>44505.599999999999</v>
      </c>
    </row>
    <row r="25" spans="1:10" ht="30.75" customHeight="1" x14ac:dyDescent="0.25">
      <c r="A25" s="13"/>
      <c r="J25" s="215">
        <f>ИП!K57</f>
        <v>43776</v>
      </c>
    </row>
    <row r="26" spans="1:10" x14ac:dyDescent="0.25">
      <c r="A26" s="9" t="s">
        <v>126</v>
      </c>
      <c r="F26" t="s">
        <v>128</v>
      </c>
      <c r="J26">
        <f>J25/1.2</f>
        <v>36480</v>
      </c>
    </row>
    <row r="27" spans="1:10" x14ac:dyDescent="0.25">
      <c r="A27" s="9" t="s">
        <v>127</v>
      </c>
    </row>
    <row r="28" spans="1:10" x14ac:dyDescent="0.25">
      <c r="A28" s="13"/>
    </row>
  </sheetData>
  <mergeCells count="7">
    <mergeCell ref="A2:G2"/>
    <mergeCell ref="A9:A11"/>
    <mergeCell ref="B9:B11"/>
    <mergeCell ref="C10:D10"/>
    <mergeCell ref="E10:E11"/>
    <mergeCell ref="C9:I9"/>
    <mergeCell ref="F10:I10"/>
  </mergeCells>
  <pageMargins left="0.41" right="0.23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N27"/>
  <sheetViews>
    <sheetView view="pageBreakPreview" zoomScale="60" zoomScaleNormal="77" workbookViewId="0">
      <selection activeCell="I12" sqref="I12"/>
    </sheetView>
  </sheetViews>
  <sheetFormatPr defaultRowHeight="15" x14ac:dyDescent="0.25"/>
  <cols>
    <col min="1" max="1" width="4.5703125" style="24" customWidth="1"/>
    <col min="2" max="2" width="44.42578125" style="24" customWidth="1"/>
    <col min="3" max="3" width="17.5703125" style="24" customWidth="1"/>
    <col min="4" max="4" width="12.28515625" style="24" customWidth="1"/>
    <col min="5" max="5" width="12.5703125" style="24" customWidth="1"/>
    <col min="6" max="6" width="8.7109375" style="24" customWidth="1"/>
    <col min="7" max="9" width="9.140625" style="24" customWidth="1"/>
    <col min="10" max="16384" width="9.140625" style="24"/>
  </cols>
  <sheetData>
    <row r="1" spans="1:14" x14ac:dyDescent="0.25">
      <c r="H1" s="25"/>
      <c r="I1" s="25"/>
    </row>
    <row r="2" spans="1:14" ht="30.75" customHeight="1" x14ac:dyDescent="0.25">
      <c r="A2" s="324" t="s">
        <v>162</v>
      </c>
      <c r="B2" s="324"/>
      <c r="C2" s="324"/>
      <c r="D2" s="324"/>
      <c r="E2" s="324"/>
      <c r="F2" s="324"/>
      <c r="G2" s="324"/>
      <c r="H2" s="324"/>
      <c r="I2" s="324"/>
    </row>
    <row r="3" spans="1:14" ht="15" customHeight="1" x14ac:dyDescent="0.25">
      <c r="A3" s="324" t="s">
        <v>187</v>
      </c>
      <c r="B3" s="324"/>
      <c r="C3" s="324"/>
      <c r="D3" s="324"/>
      <c r="E3" s="324"/>
      <c r="F3" s="324"/>
      <c r="G3" s="324"/>
      <c r="H3" s="324"/>
      <c r="I3" s="324"/>
    </row>
    <row r="4" spans="1:14" x14ac:dyDescent="0.25">
      <c r="A4" s="324"/>
      <c r="B4" s="324"/>
      <c r="C4" s="324"/>
      <c r="D4" s="324"/>
      <c r="E4" s="324"/>
      <c r="F4" s="324"/>
      <c r="G4" s="324"/>
      <c r="H4" s="324"/>
    </row>
    <row r="5" spans="1:14" ht="15" customHeight="1" x14ac:dyDescent="0.25">
      <c r="A5" s="324" t="s">
        <v>289</v>
      </c>
      <c r="B5" s="324"/>
      <c r="C5" s="324"/>
      <c r="D5" s="324"/>
      <c r="E5" s="324"/>
      <c r="F5" s="324"/>
      <c r="G5" s="324"/>
      <c r="H5" s="324"/>
      <c r="I5" s="324"/>
    </row>
    <row r="6" spans="1:14" x14ac:dyDescent="0.25">
      <c r="A6" s="26"/>
      <c r="B6" s="26"/>
      <c r="C6" s="26"/>
      <c r="D6" s="26"/>
      <c r="E6" s="26"/>
      <c r="F6" s="26"/>
      <c r="G6" s="26"/>
      <c r="H6" s="26"/>
      <c r="I6" s="143"/>
    </row>
    <row r="7" spans="1:14" ht="15" customHeight="1" x14ac:dyDescent="0.25">
      <c r="A7" s="326" t="s">
        <v>163</v>
      </c>
      <c r="B7" s="326" t="s">
        <v>164</v>
      </c>
      <c r="C7" s="326" t="s">
        <v>8</v>
      </c>
      <c r="D7" s="326" t="s">
        <v>165</v>
      </c>
      <c r="E7" s="329" t="s">
        <v>166</v>
      </c>
      <c r="F7" s="330"/>
      <c r="G7" s="330"/>
      <c r="H7" s="330"/>
      <c r="I7" s="330"/>
    </row>
    <row r="8" spans="1:14" ht="28.5" customHeight="1" x14ac:dyDescent="0.25">
      <c r="A8" s="326"/>
      <c r="B8" s="326"/>
      <c r="C8" s="326"/>
      <c r="D8" s="326"/>
      <c r="E8" s="325" t="s">
        <v>272</v>
      </c>
      <c r="F8" s="327" t="s">
        <v>167</v>
      </c>
      <c r="G8" s="328"/>
      <c r="H8" s="328"/>
      <c r="I8" s="328"/>
    </row>
    <row r="9" spans="1:14" x14ac:dyDescent="0.25">
      <c r="A9" s="326"/>
      <c r="B9" s="326"/>
      <c r="C9" s="326"/>
      <c r="D9" s="326"/>
      <c r="E9" s="325"/>
      <c r="F9" s="150">
        <v>2019</v>
      </c>
      <c r="G9" s="150">
        <f>F9+1</f>
        <v>2020</v>
      </c>
      <c r="H9" s="150">
        <f t="shared" ref="H9:I9" si="0">G9+1</f>
        <v>2021</v>
      </c>
      <c r="I9" s="150">
        <f t="shared" si="0"/>
        <v>2022</v>
      </c>
    </row>
    <row r="10" spans="1:14" x14ac:dyDescent="0.25">
      <c r="A10" s="150">
        <v>1</v>
      </c>
      <c r="B10" s="150">
        <v>2</v>
      </c>
      <c r="C10" s="150">
        <v>3</v>
      </c>
      <c r="D10" s="150">
        <v>4</v>
      </c>
      <c r="E10" s="150">
        <v>5</v>
      </c>
      <c r="F10" s="150">
        <v>6</v>
      </c>
      <c r="G10" s="150">
        <v>7</v>
      </c>
      <c r="H10" s="150">
        <v>8</v>
      </c>
      <c r="I10" s="150">
        <v>9</v>
      </c>
    </row>
    <row r="11" spans="1:14" ht="30.75" customHeight="1" x14ac:dyDescent="0.25">
      <c r="A11" s="27">
        <v>1</v>
      </c>
      <c r="B11" s="151" t="s">
        <v>168</v>
      </c>
      <c r="C11" s="27" t="s">
        <v>169</v>
      </c>
      <c r="D11" s="27" t="s">
        <v>170</v>
      </c>
      <c r="E11" s="27" t="s">
        <v>170</v>
      </c>
      <c r="F11" s="27" t="s">
        <v>170</v>
      </c>
      <c r="G11" s="27" t="s">
        <v>170</v>
      </c>
      <c r="H11" s="27" t="s">
        <v>170</v>
      </c>
      <c r="I11" s="27" t="s">
        <v>170</v>
      </c>
    </row>
    <row r="12" spans="1:14" ht="24" customHeight="1" x14ac:dyDescent="0.25">
      <c r="A12" s="322">
        <v>2</v>
      </c>
      <c r="B12" s="323" t="s">
        <v>171</v>
      </c>
      <c r="C12" s="27" t="s">
        <v>172</v>
      </c>
      <c r="D12" s="27">
        <v>0.16416</v>
      </c>
      <c r="E12" s="28">
        <v>0.16797999999999999</v>
      </c>
      <c r="F12" s="28">
        <f>E12</f>
        <v>0.16797999999999999</v>
      </c>
      <c r="G12" s="28">
        <v>0.16653999999999999</v>
      </c>
      <c r="H12" s="28">
        <f t="shared" ref="H12" si="1">G12</f>
        <v>0.16653999999999999</v>
      </c>
      <c r="I12" s="28">
        <v>0.16600000000000001</v>
      </c>
    </row>
    <row r="13" spans="1:14" ht="32.25" customHeight="1" x14ac:dyDescent="0.25">
      <c r="A13" s="322"/>
      <c r="B13" s="323"/>
      <c r="C13" s="27" t="s">
        <v>173</v>
      </c>
      <c r="D13" s="27" t="s">
        <v>170</v>
      </c>
      <c r="E13" s="27" t="s">
        <v>170</v>
      </c>
      <c r="F13" s="27" t="s">
        <v>170</v>
      </c>
      <c r="G13" s="27" t="s">
        <v>170</v>
      </c>
      <c r="H13" s="27" t="s">
        <v>170</v>
      </c>
      <c r="I13" s="27" t="s">
        <v>170</v>
      </c>
    </row>
    <row r="14" spans="1:14" ht="29.25" customHeight="1" x14ac:dyDescent="0.25">
      <c r="A14" s="27">
        <v>3</v>
      </c>
      <c r="B14" s="151" t="s">
        <v>174</v>
      </c>
      <c r="C14" s="27" t="s">
        <v>175</v>
      </c>
      <c r="D14" s="27" t="s">
        <v>170</v>
      </c>
      <c r="E14" s="27" t="s">
        <v>170</v>
      </c>
      <c r="F14" s="27" t="s">
        <v>170</v>
      </c>
      <c r="G14" s="27" t="s">
        <v>170</v>
      </c>
      <c r="H14" s="27" t="s">
        <v>170</v>
      </c>
      <c r="I14" s="27" t="s">
        <v>170</v>
      </c>
    </row>
    <row r="15" spans="1:14" ht="51" x14ac:dyDescent="0.25">
      <c r="A15" s="27">
        <v>4</v>
      </c>
      <c r="B15" s="151" t="s">
        <v>176</v>
      </c>
      <c r="C15" s="27" t="s">
        <v>177</v>
      </c>
      <c r="D15" s="27" t="s">
        <v>170</v>
      </c>
      <c r="E15" s="27" t="s">
        <v>170</v>
      </c>
      <c r="F15" s="27" t="s">
        <v>170</v>
      </c>
      <c r="G15" s="27" t="s">
        <v>170</v>
      </c>
      <c r="H15" s="27" t="s">
        <v>170</v>
      </c>
      <c r="I15" s="27" t="s">
        <v>170</v>
      </c>
    </row>
    <row r="16" spans="1:14" ht="29.25" customHeight="1" x14ac:dyDescent="0.25">
      <c r="A16" s="322">
        <v>5</v>
      </c>
      <c r="B16" s="323" t="s">
        <v>178</v>
      </c>
      <c r="C16" s="27" t="s">
        <v>189</v>
      </c>
      <c r="D16" s="27">
        <v>17.89</v>
      </c>
      <c r="E16" s="27">
        <v>16.818000000000001</v>
      </c>
      <c r="F16" s="27">
        <f>E16</f>
        <v>16.818000000000001</v>
      </c>
      <c r="G16" s="27">
        <v>16.649820000000002</v>
      </c>
      <c r="H16" s="27">
        <v>16.483321800000002</v>
      </c>
      <c r="I16" s="27">
        <v>16.318488582000001</v>
      </c>
      <c r="L16" s="229"/>
      <c r="M16" s="229"/>
      <c r="N16" s="229"/>
    </row>
    <row r="17" spans="1:14" ht="54" customHeight="1" x14ac:dyDescent="0.25">
      <c r="A17" s="322"/>
      <c r="B17" s="323"/>
      <c r="C17" s="27" t="s">
        <v>179</v>
      </c>
      <c r="D17" s="29">
        <f>D16/101.352</f>
        <v>0.17651353698003</v>
      </c>
      <c r="E17" s="29">
        <f>E16/94.174</f>
        <v>0.1785843226368212</v>
      </c>
      <c r="F17" s="29">
        <f>F16/94.174</f>
        <v>0.1785843226368212</v>
      </c>
      <c r="G17" s="29">
        <v>0.17679847941045299</v>
      </c>
      <c r="H17" s="29">
        <v>0.17503049461634848</v>
      </c>
      <c r="I17" s="29">
        <v>0.17328018967018496</v>
      </c>
      <c r="L17" s="219">
        <f>G17/F17</f>
        <v>0.99</v>
      </c>
      <c r="M17" s="219">
        <f t="shared" ref="M17:N17" si="2">H17/G17</f>
        <v>0.9900000000000001</v>
      </c>
      <c r="N17" s="219">
        <f t="shared" si="2"/>
        <v>0.98999999999999977</v>
      </c>
    </row>
    <row r="18" spans="1:14" ht="39" customHeight="1" x14ac:dyDescent="0.25">
      <c r="A18" s="322">
        <v>6</v>
      </c>
      <c r="B18" s="323" t="s">
        <v>180</v>
      </c>
      <c r="C18" s="27" t="s">
        <v>181</v>
      </c>
      <c r="D18" s="27">
        <v>23.260999999999999</v>
      </c>
      <c r="E18" s="27">
        <v>22.835000000000001</v>
      </c>
      <c r="F18" s="27">
        <f>E18</f>
        <v>22.835000000000001</v>
      </c>
      <c r="G18" s="27">
        <f>F18*98%</f>
        <v>22.378299999999999</v>
      </c>
      <c r="H18" s="27">
        <f>G18*98%</f>
        <v>21.930733999999998</v>
      </c>
      <c r="I18" s="27">
        <f>H18*98%</f>
        <v>21.492119319999997</v>
      </c>
    </row>
    <row r="19" spans="1:14" ht="35.25" customHeight="1" x14ac:dyDescent="0.25">
      <c r="A19" s="322"/>
      <c r="B19" s="323"/>
      <c r="C19" s="27" t="s">
        <v>182</v>
      </c>
      <c r="D19" s="27" t="s">
        <v>170</v>
      </c>
      <c r="E19" s="27" t="s">
        <v>170</v>
      </c>
      <c r="F19" s="27" t="s">
        <v>170</v>
      </c>
      <c r="G19" s="27" t="s">
        <v>170</v>
      </c>
      <c r="H19" s="27" t="s">
        <v>170</v>
      </c>
      <c r="I19" s="27" t="s">
        <v>170</v>
      </c>
      <c r="K19" s="24">
        <f>H18/G18</f>
        <v>0.97999999999999987</v>
      </c>
    </row>
    <row r="20" spans="1:14" ht="52.5" customHeight="1" x14ac:dyDescent="0.25">
      <c r="A20" s="27">
        <v>7</v>
      </c>
      <c r="B20" s="151" t="s">
        <v>183</v>
      </c>
      <c r="C20" s="151" t="s">
        <v>184</v>
      </c>
      <c r="D20" s="27" t="s">
        <v>170</v>
      </c>
      <c r="E20" s="27" t="s">
        <v>170</v>
      </c>
      <c r="F20" s="27" t="s">
        <v>170</v>
      </c>
      <c r="G20" s="27" t="s">
        <v>170</v>
      </c>
      <c r="H20" s="27" t="s">
        <v>170</v>
      </c>
      <c r="I20" s="27" t="s">
        <v>170</v>
      </c>
    </row>
    <row r="21" spans="1:14" hidden="1" x14ac:dyDescent="0.25">
      <c r="A21" s="27" t="s">
        <v>185</v>
      </c>
      <c r="B21" s="151" t="s">
        <v>170</v>
      </c>
      <c r="C21" s="27" t="s">
        <v>170</v>
      </c>
      <c r="D21" s="27" t="s">
        <v>170</v>
      </c>
      <c r="E21" s="27" t="s">
        <v>170</v>
      </c>
      <c r="F21" s="27" t="s">
        <v>170</v>
      </c>
      <c r="G21" s="27" t="s">
        <v>170</v>
      </c>
      <c r="H21" s="27" t="s">
        <v>170</v>
      </c>
      <c r="I21" s="27" t="s">
        <v>170</v>
      </c>
    </row>
    <row r="22" spans="1:14" hidden="1" x14ac:dyDescent="0.25">
      <c r="A22" s="27" t="s">
        <v>186</v>
      </c>
      <c r="B22" s="151" t="s">
        <v>170</v>
      </c>
      <c r="C22" s="27" t="s">
        <v>170</v>
      </c>
      <c r="D22" s="27" t="s">
        <v>170</v>
      </c>
      <c r="E22" s="27" t="s">
        <v>170</v>
      </c>
      <c r="F22" s="27" t="s">
        <v>170</v>
      </c>
      <c r="G22" s="27" t="s">
        <v>170</v>
      </c>
      <c r="H22" s="27" t="s">
        <v>170</v>
      </c>
      <c r="I22" s="27" t="s">
        <v>170</v>
      </c>
    </row>
    <row r="23" spans="1:14" ht="27.75" customHeight="1" x14ac:dyDescent="0.25">
      <c r="A23" s="30"/>
      <c r="B23" s="30"/>
      <c r="C23" s="30"/>
      <c r="D23" s="30"/>
      <c r="E23" s="30"/>
      <c r="F23" s="30"/>
      <c r="G23" s="30"/>
      <c r="H23" s="30"/>
      <c r="I23" s="30"/>
    </row>
    <row r="24" spans="1:14" ht="27.75" customHeight="1" x14ac:dyDescent="0.25">
      <c r="A24" s="321" t="s">
        <v>188</v>
      </c>
      <c r="B24" s="321"/>
      <c r="C24" s="321"/>
      <c r="D24" s="321"/>
      <c r="E24" s="321"/>
      <c r="F24" s="321"/>
      <c r="G24" s="321"/>
      <c r="H24" s="321"/>
    </row>
    <row r="25" spans="1:14" x14ac:dyDescent="0.25">
      <c r="A25" s="31"/>
    </row>
    <row r="26" spans="1:14" x14ac:dyDescent="0.25">
      <c r="A26" s="31"/>
    </row>
    <row r="27" spans="1:14" x14ac:dyDescent="0.25">
      <c r="A27" s="32"/>
    </row>
  </sheetData>
  <mergeCells count="18">
    <mergeCell ref="A2:I2"/>
    <mergeCell ref="A3:I3"/>
    <mergeCell ref="A5:I5"/>
    <mergeCell ref="E8:E9"/>
    <mergeCell ref="A4:H4"/>
    <mergeCell ref="A7:A9"/>
    <mergeCell ref="B7:B9"/>
    <mergeCell ref="C7:C9"/>
    <mergeCell ref="D7:D9"/>
    <mergeCell ref="F8:I8"/>
    <mergeCell ref="E7:I7"/>
    <mergeCell ref="A24:H24"/>
    <mergeCell ref="A12:A13"/>
    <mergeCell ref="B12:B13"/>
    <mergeCell ref="A16:A17"/>
    <mergeCell ref="B16:B17"/>
    <mergeCell ref="A18:A19"/>
    <mergeCell ref="B18:B19"/>
  </mergeCells>
  <pageMargins left="0.43307086614173229" right="0.19685039370078741" top="0.23622047244094491" bottom="0.31496062992125984" header="0.19685039370078741" footer="0.31496062992125984"/>
  <pageSetup paperSize="9"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1:T39"/>
  <sheetViews>
    <sheetView view="pageBreakPreview" zoomScale="60" zoomScaleNormal="73" workbookViewId="0">
      <selection activeCell="I17" sqref="I17:I18"/>
    </sheetView>
  </sheetViews>
  <sheetFormatPr defaultRowHeight="15" outlineLevelRow="1" x14ac:dyDescent="0.25"/>
  <cols>
    <col min="2" max="2" width="19.85546875" customWidth="1"/>
    <col min="8" max="8" width="10.7109375" customWidth="1"/>
    <col min="11" max="11" width="15.7109375" customWidth="1"/>
    <col min="13" max="13" width="9.140625" customWidth="1"/>
    <col min="17" max="17" width="10.28515625" customWidth="1"/>
  </cols>
  <sheetData>
    <row r="1" spans="1:19" ht="36" customHeight="1" x14ac:dyDescent="0.35">
      <c r="B1" s="391" t="s">
        <v>223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9" ht="43.5" customHeight="1" x14ac:dyDescent="0.35">
      <c r="B2" s="392" t="str">
        <f>CONCATENATE(ИП!A38," ",ИП!B38)</f>
        <v xml:space="preserve">4.1. Реконструкция подземного  участка  теплотрассы в мкр.АЗМР протяженностью 156 м.п. от  ТК-23; 24;25;26; до ТК-37А  в четырехтрубном исполнении.  Труба  стальная Д159 мм и Д108 мм  в  ППУ изоляции 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</row>
    <row r="4" spans="1:19" ht="127.5" customHeight="1" x14ac:dyDescent="0.25">
      <c r="B4" s="36" t="s">
        <v>191</v>
      </c>
      <c r="C4" s="36" t="s">
        <v>192</v>
      </c>
      <c r="D4" s="36" t="s">
        <v>226</v>
      </c>
      <c r="E4" s="36" t="s">
        <v>227</v>
      </c>
      <c r="F4" s="36" t="s">
        <v>228</v>
      </c>
      <c r="G4" s="36" t="s">
        <v>231</v>
      </c>
      <c r="H4" s="36" t="s">
        <v>232</v>
      </c>
      <c r="I4" s="36" t="s">
        <v>225</v>
      </c>
      <c r="J4" s="36" t="s">
        <v>284</v>
      </c>
      <c r="K4" s="393" t="s">
        <v>193</v>
      </c>
      <c r="L4" s="394"/>
      <c r="M4" s="395" t="s">
        <v>143</v>
      </c>
      <c r="N4" s="395"/>
      <c r="O4" s="395"/>
      <c r="P4" s="395"/>
    </row>
    <row r="5" spans="1:19" ht="15" customHeight="1" x14ac:dyDescent="0.25">
      <c r="B5" s="110" t="s">
        <v>218</v>
      </c>
      <c r="C5" s="109"/>
      <c r="D5" s="109">
        <f>D7+D8</f>
        <v>0.312</v>
      </c>
      <c r="E5" s="109"/>
      <c r="F5" s="109"/>
      <c r="G5" s="109"/>
      <c r="H5" s="109"/>
      <c r="I5" s="72">
        <f>I7+I8</f>
        <v>91.26</v>
      </c>
      <c r="J5" s="38"/>
      <c r="K5" s="388">
        <f>S28/I5</f>
        <v>5.2723582917461522</v>
      </c>
      <c r="L5" s="389"/>
      <c r="M5" s="396">
        <f>(P28+P29)*E39*1.5</f>
        <v>180.02368799999999</v>
      </c>
      <c r="N5" s="396"/>
      <c r="O5" s="396"/>
      <c r="P5" s="396"/>
    </row>
    <row r="6" spans="1:19" x14ac:dyDescent="0.25">
      <c r="B6" s="37" t="s">
        <v>194</v>
      </c>
      <c r="C6" s="38"/>
      <c r="D6" s="39"/>
      <c r="E6" s="39"/>
      <c r="F6" s="39"/>
      <c r="G6" s="39"/>
      <c r="H6" s="113"/>
      <c r="J6" s="40"/>
      <c r="K6" s="334"/>
      <c r="L6" s="335"/>
      <c r="M6" s="336"/>
      <c r="N6" s="336"/>
      <c r="O6" s="336"/>
      <c r="P6" s="336"/>
    </row>
    <row r="7" spans="1:19" x14ac:dyDescent="0.25">
      <c r="B7" s="41">
        <v>100</v>
      </c>
      <c r="C7" s="41">
        <v>108</v>
      </c>
      <c r="D7" s="41">
        <f>0.156/2</f>
        <v>7.8E-2</v>
      </c>
      <c r="E7" s="41"/>
      <c r="F7" s="41"/>
      <c r="G7" s="41"/>
      <c r="H7" s="41"/>
      <c r="I7" s="108">
        <f>$C7*D7*2</f>
        <v>16.847999999999999</v>
      </c>
      <c r="J7" s="42"/>
      <c r="K7" s="334"/>
      <c r="L7" s="335"/>
      <c r="M7" s="336"/>
      <c r="N7" s="336"/>
      <c r="O7" s="336"/>
      <c r="P7" s="336"/>
    </row>
    <row r="8" spans="1:19" x14ac:dyDescent="0.25">
      <c r="B8" s="115">
        <v>150</v>
      </c>
      <c r="C8" s="41">
        <v>159</v>
      </c>
      <c r="D8" s="41">
        <f>0.468/2</f>
        <v>0.23400000000000001</v>
      </c>
      <c r="E8" s="41"/>
      <c r="F8" s="41"/>
      <c r="G8" s="41"/>
      <c r="H8" s="41"/>
      <c r="I8" s="108">
        <f>$C8*D8*2</f>
        <v>74.412000000000006</v>
      </c>
      <c r="J8" s="42"/>
      <c r="K8" s="334"/>
      <c r="L8" s="335"/>
      <c r="M8" s="336"/>
      <c r="N8" s="336"/>
      <c r="O8" s="336"/>
      <c r="P8" s="336"/>
    </row>
    <row r="9" spans="1:19" ht="15" customHeight="1" x14ac:dyDescent="0.25">
      <c r="B9" s="110" t="s">
        <v>217</v>
      </c>
      <c r="C9" s="112"/>
      <c r="D9" s="109">
        <f>D11+D12</f>
        <v>0</v>
      </c>
      <c r="E9" s="109">
        <f t="shared" ref="E9:H9" si="0">E11+E12</f>
        <v>0</v>
      </c>
      <c r="F9" s="109">
        <f t="shared" si="0"/>
        <v>0</v>
      </c>
      <c r="G9" s="109">
        <f t="shared" si="0"/>
        <v>0</v>
      </c>
      <c r="H9" s="109">
        <f t="shared" si="0"/>
        <v>0.312</v>
      </c>
      <c r="I9" s="107"/>
      <c r="J9" s="72">
        <f>SUM(J11:J12)</f>
        <v>91.26</v>
      </c>
      <c r="K9" s="388">
        <f>S26/J9</f>
        <v>3.5149055278307686</v>
      </c>
      <c r="L9" s="389"/>
      <c r="M9" s="390">
        <f>(P26+P27)*E39</f>
        <v>120.01579199999999</v>
      </c>
      <c r="N9" s="390"/>
      <c r="O9" s="390"/>
      <c r="P9" s="390"/>
    </row>
    <row r="10" spans="1:19" x14ac:dyDescent="0.25">
      <c r="B10" s="111" t="s">
        <v>194</v>
      </c>
      <c r="C10" s="41"/>
      <c r="D10" s="41"/>
      <c r="E10" s="41"/>
      <c r="F10" s="41"/>
      <c r="G10" s="41"/>
      <c r="H10" s="41"/>
      <c r="I10" s="42"/>
      <c r="J10" s="42"/>
      <c r="K10" s="334"/>
      <c r="L10" s="335"/>
      <c r="M10" s="336"/>
      <c r="N10" s="336"/>
      <c r="O10" s="336"/>
      <c r="P10" s="336"/>
    </row>
    <row r="11" spans="1:19" x14ac:dyDescent="0.25">
      <c r="B11" s="41">
        <v>100</v>
      </c>
      <c r="C11" s="41">
        <v>108</v>
      </c>
      <c r="D11" s="41"/>
      <c r="E11" s="41"/>
      <c r="F11" s="41"/>
      <c r="G11" s="41"/>
      <c r="H11" s="41">
        <f>0.156/2</f>
        <v>7.8E-2</v>
      </c>
      <c r="I11" s="41"/>
      <c r="J11" s="42">
        <f>$C11*H11*2</f>
        <v>16.847999999999999</v>
      </c>
      <c r="K11" s="387"/>
      <c r="L11" s="335"/>
      <c r="M11" s="336"/>
      <c r="N11" s="336"/>
      <c r="O11" s="336"/>
      <c r="P11" s="336"/>
    </row>
    <row r="12" spans="1:19" x14ac:dyDescent="0.25">
      <c r="B12" s="115">
        <v>150</v>
      </c>
      <c r="C12" s="116">
        <v>159</v>
      </c>
      <c r="D12" s="41"/>
      <c r="E12" s="41"/>
      <c r="F12" s="41"/>
      <c r="G12" s="41"/>
      <c r="H12" s="41">
        <f>0.468/2</f>
        <v>0.23400000000000001</v>
      </c>
      <c r="I12" s="41"/>
      <c r="J12" s="42">
        <f>$C12*H12*2</f>
        <v>74.412000000000006</v>
      </c>
      <c r="K12" s="334"/>
      <c r="L12" s="335"/>
      <c r="M12" s="336"/>
      <c r="N12" s="336"/>
      <c r="O12" s="336"/>
      <c r="P12" s="336"/>
    </row>
    <row r="13" spans="1:19" x14ac:dyDescent="0.25">
      <c r="H13" s="43"/>
      <c r="I13" s="43"/>
    </row>
    <row r="14" spans="1:19" ht="49.5" customHeight="1" x14ac:dyDescent="0.25">
      <c r="B14" s="349" t="s">
        <v>195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</row>
    <row r="15" spans="1:19" ht="16.5" thickBot="1" x14ac:dyDescent="0.3">
      <c r="A15" s="44"/>
      <c r="B15" s="351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</row>
    <row r="16" spans="1:19" ht="36" customHeight="1" x14ac:dyDescent="0.25">
      <c r="A16" s="353" t="s">
        <v>196</v>
      </c>
      <c r="B16" s="356" t="s">
        <v>197</v>
      </c>
      <c r="C16" s="359" t="s">
        <v>198</v>
      </c>
      <c r="D16" s="362" t="s">
        <v>199</v>
      </c>
      <c r="E16" s="362" t="s">
        <v>200</v>
      </c>
      <c r="F16" s="362"/>
      <c r="G16" s="362"/>
      <c r="H16" s="362" t="s">
        <v>201</v>
      </c>
      <c r="I16" s="385"/>
      <c r="J16" s="376" t="s">
        <v>202</v>
      </c>
      <c r="K16" s="382" t="s">
        <v>203</v>
      </c>
      <c r="L16" s="376" t="s">
        <v>204</v>
      </c>
      <c r="M16" s="376" t="s">
        <v>205</v>
      </c>
      <c r="N16" s="376" t="s">
        <v>206</v>
      </c>
      <c r="O16" s="376" t="s">
        <v>207</v>
      </c>
      <c r="P16" s="376" t="s">
        <v>208</v>
      </c>
      <c r="Q16" s="382" t="s">
        <v>209</v>
      </c>
      <c r="R16" s="346" t="s">
        <v>210</v>
      </c>
      <c r="S16" s="365" t="s">
        <v>211</v>
      </c>
    </row>
    <row r="17" spans="1:20" ht="34.5" customHeight="1" x14ac:dyDescent="0.25">
      <c r="A17" s="354"/>
      <c r="B17" s="357"/>
      <c r="C17" s="360"/>
      <c r="D17" s="363"/>
      <c r="E17" s="368" t="s">
        <v>212</v>
      </c>
      <c r="F17" s="370" t="s">
        <v>213</v>
      </c>
      <c r="G17" s="372" t="s">
        <v>211</v>
      </c>
      <c r="H17" s="374" t="s">
        <v>214</v>
      </c>
      <c r="I17" s="368" t="s">
        <v>215</v>
      </c>
      <c r="J17" s="377"/>
      <c r="K17" s="386"/>
      <c r="L17" s="377"/>
      <c r="M17" s="378"/>
      <c r="N17" s="378"/>
      <c r="O17" s="380"/>
      <c r="P17" s="380"/>
      <c r="Q17" s="383"/>
      <c r="R17" s="347"/>
      <c r="S17" s="366"/>
    </row>
    <row r="18" spans="1:20" ht="49.5" customHeight="1" thickBot="1" x14ac:dyDescent="0.3">
      <c r="A18" s="355"/>
      <c r="B18" s="358"/>
      <c r="C18" s="361"/>
      <c r="D18" s="364"/>
      <c r="E18" s="369"/>
      <c r="F18" s="371"/>
      <c r="G18" s="373"/>
      <c r="H18" s="375"/>
      <c r="I18" s="369"/>
      <c r="J18" s="373"/>
      <c r="K18" s="375"/>
      <c r="L18" s="373"/>
      <c r="M18" s="379" t="s">
        <v>216</v>
      </c>
      <c r="N18" s="379"/>
      <c r="O18" s="381"/>
      <c r="P18" s="381"/>
      <c r="Q18" s="384"/>
      <c r="R18" s="348"/>
      <c r="S18" s="367"/>
    </row>
    <row r="19" spans="1:20" ht="16.5" thickBot="1" x14ac:dyDescent="0.3">
      <c r="A19" s="337"/>
      <c r="B19" s="338"/>
      <c r="C19" s="339"/>
      <c r="D19" s="339"/>
      <c r="E19" s="339"/>
      <c r="F19" s="339"/>
      <c r="G19" s="339"/>
      <c r="H19" s="339"/>
      <c r="I19" s="339"/>
      <c r="J19" s="339"/>
      <c r="K19" s="339"/>
      <c r="L19" s="339"/>
      <c r="M19" s="339"/>
      <c r="N19" s="339"/>
      <c r="O19" s="339"/>
      <c r="P19" s="339"/>
      <c r="Q19" s="339"/>
      <c r="R19" s="340"/>
      <c r="S19" s="87"/>
    </row>
    <row r="20" spans="1:20" x14ac:dyDescent="0.25">
      <c r="A20" s="46">
        <v>25</v>
      </c>
      <c r="B20" s="47">
        <v>32</v>
      </c>
      <c r="C20" s="341">
        <f>'[2]Исходные данные'!$J$25</f>
        <v>57</v>
      </c>
      <c r="D20" s="341">
        <f>'[2]Исходные данные'!$J$26</f>
        <v>46</v>
      </c>
      <c r="E20" s="47">
        <v>0</v>
      </c>
      <c r="F20" s="47">
        <v>0</v>
      </c>
      <c r="G20" s="49">
        <f>E20+F20</f>
        <v>0</v>
      </c>
      <c r="H20" s="50">
        <v>17.655999999999999</v>
      </c>
      <c r="I20" s="51">
        <v>41.64</v>
      </c>
      <c r="J20" s="51">
        <v>1.2</v>
      </c>
      <c r="K20" s="51">
        <f>E20*H20*J20</f>
        <v>0</v>
      </c>
      <c r="L20" s="52">
        <f>I20*F20*1.2</f>
        <v>0</v>
      </c>
      <c r="M20" s="51">
        <f t="shared" ref="M20:M34" si="1">(K20+L20)*$E$39/1000000</f>
        <v>0</v>
      </c>
      <c r="N20" s="54">
        <v>5.6999999999999998E-4</v>
      </c>
      <c r="O20" s="52">
        <f>N20*G20</f>
        <v>0</v>
      </c>
      <c r="P20" s="51">
        <f>O20*0.0025</f>
        <v>0</v>
      </c>
      <c r="Q20" s="51">
        <f t="shared" ref="Q20:Q34" si="2">1*P20*981*((0.75*C$20+(1-0.75)*D$20)-5)/1000000*$E$39</f>
        <v>0</v>
      </c>
      <c r="R20" s="91">
        <f>M20+Q20</f>
        <v>0</v>
      </c>
      <c r="S20" s="88"/>
    </row>
    <row r="21" spans="1:20" x14ac:dyDescent="0.25">
      <c r="A21" s="55">
        <v>32</v>
      </c>
      <c r="B21" s="45">
        <v>42</v>
      </c>
      <c r="C21" s="342"/>
      <c r="D21" s="342"/>
      <c r="E21" s="48">
        <v>0</v>
      </c>
      <c r="F21" s="48">
        <v>0</v>
      </c>
      <c r="G21" s="48">
        <f>E21+F21</f>
        <v>0</v>
      </c>
      <c r="H21" s="56">
        <v>19.210933333333333</v>
      </c>
      <c r="I21" s="57">
        <v>44.4512</v>
      </c>
      <c r="J21" s="53">
        <v>1.2</v>
      </c>
      <c r="K21" s="53">
        <f>E21*H21*J21</f>
        <v>0</v>
      </c>
      <c r="L21" s="53">
        <f t="shared" ref="L21:L34" si="3">I21*F21*1.2</f>
        <v>0</v>
      </c>
      <c r="M21" s="53">
        <f t="shared" si="1"/>
        <v>0</v>
      </c>
      <c r="N21" s="58">
        <v>9.1066666666666661E-4</v>
      </c>
      <c r="O21" s="53">
        <f>N21*G21</f>
        <v>0</v>
      </c>
      <c r="P21" s="53">
        <f t="shared" ref="P21:P30" si="4">O21*0.0025</f>
        <v>0</v>
      </c>
      <c r="Q21" s="53">
        <f t="shared" si="2"/>
        <v>0</v>
      </c>
      <c r="R21" s="92">
        <f t="shared" ref="R21:R34" si="5">M21+Q21</f>
        <v>0</v>
      </c>
      <c r="S21" s="88"/>
    </row>
    <row r="22" spans="1:20" x14ac:dyDescent="0.25">
      <c r="A22" s="59">
        <v>40</v>
      </c>
      <c r="B22" s="48">
        <v>45</v>
      </c>
      <c r="C22" s="343"/>
      <c r="D22" s="343"/>
      <c r="E22" s="48">
        <v>0</v>
      </c>
      <c r="F22" s="48">
        <v>0</v>
      </c>
      <c r="G22" s="48">
        <f t="shared" ref="G22:G34" si="6">E22+F22</f>
        <v>0</v>
      </c>
      <c r="H22" s="60">
        <v>20.988</v>
      </c>
      <c r="I22" s="53">
        <v>47.664000000000001</v>
      </c>
      <c r="J22" s="53">
        <v>1.2</v>
      </c>
      <c r="K22" s="53">
        <f t="shared" ref="K22:K34" si="7">E22*H22*J22</f>
        <v>0</v>
      </c>
      <c r="L22" s="53">
        <f t="shared" si="3"/>
        <v>0</v>
      </c>
      <c r="M22" s="53">
        <f t="shared" si="1"/>
        <v>0</v>
      </c>
      <c r="N22" s="61">
        <v>1.2999999999999999E-3</v>
      </c>
      <c r="O22" s="53">
        <f t="shared" ref="O22:O34" si="8">N22*G22</f>
        <v>0</v>
      </c>
      <c r="P22" s="53">
        <f t="shared" si="4"/>
        <v>0</v>
      </c>
      <c r="Q22" s="53">
        <f t="shared" si="2"/>
        <v>0</v>
      </c>
      <c r="R22" s="92">
        <f t="shared" si="5"/>
        <v>0</v>
      </c>
      <c r="S22" s="88"/>
    </row>
    <row r="23" spans="1:20" x14ac:dyDescent="0.25">
      <c r="A23" s="59">
        <v>50</v>
      </c>
      <c r="B23" s="48">
        <v>57</v>
      </c>
      <c r="C23" s="343"/>
      <c r="D23" s="343"/>
      <c r="E23" s="48">
        <v>0</v>
      </c>
      <c r="F23" s="48">
        <v>0</v>
      </c>
      <c r="G23" s="48">
        <f t="shared" si="6"/>
        <v>0</v>
      </c>
      <c r="H23" s="60">
        <v>23.988</v>
      </c>
      <c r="I23" s="53">
        <v>51.68</v>
      </c>
      <c r="J23" s="53">
        <v>1.2</v>
      </c>
      <c r="K23" s="53">
        <f t="shared" si="7"/>
        <v>0</v>
      </c>
      <c r="L23" s="53">
        <f t="shared" si="3"/>
        <v>0</v>
      </c>
      <c r="M23" s="53">
        <f t="shared" si="1"/>
        <v>0</v>
      </c>
      <c r="N23" s="61">
        <v>2E-3</v>
      </c>
      <c r="O23" s="53">
        <f t="shared" si="8"/>
        <v>0</v>
      </c>
      <c r="P23" s="53">
        <f>O23*0.0025</f>
        <v>0</v>
      </c>
      <c r="Q23" s="53">
        <f t="shared" si="2"/>
        <v>0</v>
      </c>
      <c r="R23" s="92">
        <f t="shared" si="5"/>
        <v>0</v>
      </c>
      <c r="S23" s="88"/>
    </row>
    <row r="24" spans="1:20" x14ac:dyDescent="0.25">
      <c r="A24" s="59">
        <v>70</v>
      </c>
      <c r="B24" s="48">
        <v>76</v>
      </c>
      <c r="C24" s="343"/>
      <c r="D24" s="343"/>
      <c r="E24" s="48">
        <v>0</v>
      </c>
      <c r="F24" s="48">
        <v>0</v>
      </c>
      <c r="G24" s="48">
        <f t="shared" si="6"/>
        <v>0</v>
      </c>
      <c r="H24" s="60">
        <v>28.32</v>
      </c>
      <c r="I24" s="53">
        <v>59.2</v>
      </c>
      <c r="J24" s="53">
        <v>1.2</v>
      </c>
      <c r="K24" s="53">
        <f t="shared" si="7"/>
        <v>0</v>
      </c>
      <c r="L24" s="53">
        <f>I24*F24*1.2</f>
        <v>0</v>
      </c>
      <c r="M24" s="53">
        <f t="shared" si="1"/>
        <v>0</v>
      </c>
      <c r="N24" s="61">
        <v>3.8999999999999998E-3</v>
      </c>
      <c r="O24" s="53">
        <f t="shared" si="8"/>
        <v>0</v>
      </c>
      <c r="P24" s="53">
        <f t="shared" si="4"/>
        <v>0</v>
      </c>
      <c r="Q24" s="53">
        <f t="shared" si="2"/>
        <v>0</v>
      </c>
      <c r="R24" s="92">
        <f t="shared" si="5"/>
        <v>0</v>
      </c>
      <c r="S24" s="88"/>
    </row>
    <row r="25" spans="1:20" s="66" customFormat="1" x14ac:dyDescent="0.25">
      <c r="A25" s="59">
        <v>80</v>
      </c>
      <c r="B25" s="48">
        <v>89</v>
      </c>
      <c r="C25" s="343"/>
      <c r="D25" s="343"/>
      <c r="E25" s="48">
        <v>0</v>
      </c>
      <c r="F25" s="48">
        <v>0</v>
      </c>
      <c r="G25" s="48">
        <f t="shared" si="6"/>
        <v>0</v>
      </c>
      <c r="H25" s="60">
        <v>31.32</v>
      </c>
      <c r="I25" s="53">
        <v>63.72</v>
      </c>
      <c r="J25" s="53">
        <v>1.2</v>
      </c>
      <c r="K25" s="53">
        <f t="shared" si="7"/>
        <v>0</v>
      </c>
      <c r="L25" s="53">
        <f t="shared" si="3"/>
        <v>0</v>
      </c>
      <c r="M25" s="53">
        <f t="shared" si="1"/>
        <v>0</v>
      </c>
      <c r="N25" s="61">
        <v>5.3E-3</v>
      </c>
      <c r="O25" s="53">
        <f t="shared" si="8"/>
        <v>0</v>
      </c>
      <c r="P25" s="53">
        <f t="shared" si="4"/>
        <v>0</v>
      </c>
      <c r="Q25" s="53">
        <f t="shared" si="2"/>
        <v>0</v>
      </c>
      <c r="R25" s="92">
        <f t="shared" si="5"/>
        <v>0</v>
      </c>
      <c r="S25" s="88"/>
    </row>
    <row r="26" spans="1:20" s="66" customFormat="1" x14ac:dyDescent="0.25">
      <c r="A26" s="62">
        <v>100</v>
      </c>
      <c r="B26" s="63">
        <v>108</v>
      </c>
      <c r="C26" s="343"/>
      <c r="D26" s="343"/>
      <c r="E26" s="63">
        <v>0</v>
      </c>
      <c r="F26" s="63">
        <f>D7*2*1000</f>
        <v>156</v>
      </c>
      <c r="G26" s="63">
        <f t="shared" si="6"/>
        <v>156</v>
      </c>
      <c r="H26" s="64">
        <v>34.984000000000002</v>
      </c>
      <c r="I26" s="63">
        <v>70.239999999999995</v>
      </c>
      <c r="J26" s="63">
        <v>1.2</v>
      </c>
      <c r="K26" s="63">
        <f>E26*H26*J26</f>
        <v>0</v>
      </c>
      <c r="L26" s="63">
        <f>I26*F26*1.2</f>
        <v>13148.927999999998</v>
      </c>
      <c r="M26" s="63">
        <f t="shared" si="1"/>
        <v>66.333711974399989</v>
      </c>
      <c r="N26" s="65">
        <v>7.9000000000000008E-3</v>
      </c>
      <c r="O26" s="63">
        <f t="shared" si="8"/>
        <v>1.2324000000000002</v>
      </c>
      <c r="P26" s="63">
        <f t="shared" si="4"/>
        <v>3.0810000000000004E-3</v>
      </c>
      <c r="Q26" s="63">
        <f t="shared" si="2"/>
        <v>0.75094977920039996</v>
      </c>
      <c r="R26" s="93">
        <f t="shared" si="5"/>
        <v>67.084661753600386</v>
      </c>
      <c r="S26" s="89">
        <f>R26+R27</f>
        <v>320.77027846983594</v>
      </c>
      <c r="T26" s="24" t="s">
        <v>217</v>
      </c>
    </row>
    <row r="27" spans="1:20" s="66" customFormat="1" x14ac:dyDescent="0.25">
      <c r="A27" s="62">
        <v>150</v>
      </c>
      <c r="B27" s="63">
        <v>159</v>
      </c>
      <c r="C27" s="343"/>
      <c r="D27" s="343"/>
      <c r="E27" s="63">
        <v>0</v>
      </c>
      <c r="F27" s="63">
        <f>D8*2*1000</f>
        <v>468</v>
      </c>
      <c r="G27" s="63">
        <f t="shared" si="6"/>
        <v>468</v>
      </c>
      <c r="H27" s="64">
        <v>41.984000000000002</v>
      </c>
      <c r="I27" s="63">
        <v>87.76</v>
      </c>
      <c r="J27" s="63">
        <v>1.2</v>
      </c>
      <c r="K27" s="63">
        <f t="shared" si="7"/>
        <v>0</v>
      </c>
      <c r="L27" s="63">
        <f t="shared" si="3"/>
        <v>49286.015999999996</v>
      </c>
      <c r="M27" s="63">
        <f t="shared" si="1"/>
        <v>248.63809351679996</v>
      </c>
      <c r="N27" s="65">
        <v>1.77E-2</v>
      </c>
      <c r="O27" s="63">
        <f>N27*G27</f>
        <v>8.2835999999999999</v>
      </c>
      <c r="P27" s="63">
        <f t="shared" si="4"/>
        <v>2.0709000000000002E-2</v>
      </c>
      <c r="Q27" s="63">
        <f t="shared" si="2"/>
        <v>5.0475231994355996</v>
      </c>
      <c r="R27" s="93">
        <f t="shared" si="5"/>
        <v>253.68561671623556</v>
      </c>
      <c r="S27" s="89"/>
    </row>
    <row r="28" spans="1:20" s="80" customFormat="1" hidden="1" outlineLevel="1" x14ac:dyDescent="0.25">
      <c r="A28" s="76">
        <v>100</v>
      </c>
      <c r="B28" s="77">
        <v>108</v>
      </c>
      <c r="C28" s="343"/>
      <c r="D28" s="343"/>
      <c r="E28" s="77">
        <v>0</v>
      </c>
      <c r="F28" s="77">
        <f>D7*2*1000</f>
        <v>156</v>
      </c>
      <c r="G28" s="77">
        <f t="shared" ref="G28:G29" si="9">E28+F28</f>
        <v>156</v>
      </c>
      <c r="H28" s="78">
        <v>34.984000000000002</v>
      </c>
      <c r="I28" s="77">
        <v>70.239999999999995</v>
      </c>
      <c r="J28" s="77">
        <v>1.2</v>
      </c>
      <c r="K28" s="77">
        <f>E28*H28*J28</f>
        <v>0</v>
      </c>
      <c r="L28" s="77">
        <f>I28*F28*1.2</f>
        <v>13148.927999999998</v>
      </c>
      <c r="M28" s="77">
        <f t="shared" si="1"/>
        <v>66.333711974399989</v>
      </c>
      <c r="N28" s="79">
        <v>7.9000000000000008E-3</v>
      </c>
      <c r="O28" s="77">
        <f t="shared" ref="O28" si="10">N28*G28</f>
        <v>1.2324000000000002</v>
      </c>
      <c r="P28" s="77">
        <f t="shared" ref="P28:P29" si="11">O28*0.0025</f>
        <v>3.0810000000000004E-3</v>
      </c>
      <c r="Q28" s="77">
        <f t="shared" si="2"/>
        <v>0.75094977920039996</v>
      </c>
      <c r="R28" s="94">
        <f t="shared" ref="R28:R29" si="12">M28+Q28</f>
        <v>67.084661753600386</v>
      </c>
      <c r="S28" s="90">
        <f>(R28+R29)*1.5</f>
        <v>481.15541770475392</v>
      </c>
      <c r="T28" s="24" t="s">
        <v>218</v>
      </c>
    </row>
    <row r="29" spans="1:20" s="80" customFormat="1" hidden="1" outlineLevel="1" x14ac:dyDescent="0.25">
      <c r="A29" s="76">
        <v>150</v>
      </c>
      <c r="B29" s="77">
        <v>159</v>
      </c>
      <c r="C29" s="343"/>
      <c r="D29" s="343"/>
      <c r="E29" s="77">
        <v>0</v>
      </c>
      <c r="F29" s="77">
        <f>D8*2*1000</f>
        <v>468</v>
      </c>
      <c r="G29" s="77">
        <f t="shared" si="9"/>
        <v>468</v>
      </c>
      <c r="H29" s="78">
        <v>41.984000000000002</v>
      </c>
      <c r="I29" s="77">
        <v>87.76</v>
      </c>
      <c r="J29" s="77">
        <v>1.2</v>
      </c>
      <c r="K29" s="77">
        <f t="shared" ref="K29" si="13">E29*H29*J29</f>
        <v>0</v>
      </c>
      <c r="L29" s="77">
        <f t="shared" ref="L29" si="14">I29*F29*1.2</f>
        <v>49286.015999999996</v>
      </c>
      <c r="M29" s="77">
        <f t="shared" si="1"/>
        <v>248.63809351679996</v>
      </c>
      <c r="N29" s="79">
        <v>1.77E-2</v>
      </c>
      <c r="O29" s="77">
        <f>N29*G29</f>
        <v>8.2835999999999999</v>
      </c>
      <c r="P29" s="77">
        <f t="shared" si="11"/>
        <v>2.0709000000000002E-2</v>
      </c>
      <c r="Q29" s="77">
        <f t="shared" si="2"/>
        <v>5.0475231994355996</v>
      </c>
      <c r="R29" s="94">
        <f t="shared" si="12"/>
        <v>253.68561671623556</v>
      </c>
      <c r="S29" s="90"/>
    </row>
    <row r="30" spans="1:20" s="24" customFormat="1" collapsed="1" x14ac:dyDescent="0.25">
      <c r="A30" s="73">
        <v>200</v>
      </c>
      <c r="B30" s="74">
        <v>219</v>
      </c>
      <c r="C30" s="343"/>
      <c r="D30" s="343"/>
      <c r="E30" s="48">
        <v>0</v>
      </c>
      <c r="F30" s="48">
        <v>0</v>
      </c>
      <c r="G30" s="74">
        <f t="shared" si="6"/>
        <v>0</v>
      </c>
      <c r="H30" s="75">
        <v>50.648000000000003</v>
      </c>
      <c r="I30" s="74">
        <v>104.84</v>
      </c>
      <c r="J30" s="74">
        <v>1.1499999999999999</v>
      </c>
      <c r="K30" s="74">
        <f t="shared" si="7"/>
        <v>0</v>
      </c>
      <c r="L30" s="74">
        <f t="shared" si="3"/>
        <v>0</v>
      </c>
      <c r="M30" s="74">
        <f t="shared" si="1"/>
        <v>0</v>
      </c>
      <c r="N30" s="61">
        <v>3.3000000000000002E-2</v>
      </c>
      <c r="O30" s="74">
        <f t="shared" si="8"/>
        <v>0</v>
      </c>
      <c r="P30" s="74">
        <f t="shared" si="4"/>
        <v>0</v>
      </c>
      <c r="Q30" s="74">
        <f t="shared" si="2"/>
        <v>0</v>
      </c>
      <c r="R30" s="92">
        <f>M30+Q30</f>
        <v>0</v>
      </c>
      <c r="S30" s="114">
        <f>R30</f>
        <v>0</v>
      </c>
    </row>
    <row r="31" spans="1:20" s="24" customFormat="1" x14ac:dyDescent="0.25">
      <c r="A31" s="73">
        <v>250</v>
      </c>
      <c r="B31" s="74">
        <v>273</v>
      </c>
      <c r="C31" s="343"/>
      <c r="D31" s="343"/>
      <c r="E31" s="48">
        <v>0</v>
      </c>
      <c r="F31" s="48">
        <v>0</v>
      </c>
      <c r="G31" s="74">
        <f t="shared" si="6"/>
        <v>0</v>
      </c>
      <c r="H31" s="75">
        <v>58.643999999999998</v>
      </c>
      <c r="I31" s="74">
        <v>123.36</v>
      </c>
      <c r="J31" s="74">
        <v>1.1499999999999999</v>
      </c>
      <c r="K31" s="74">
        <f t="shared" si="7"/>
        <v>0</v>
      </c>
      <c r="L31" s="74">
        <f t="shared" si="3"/>
        <v>0</v>
      </c>
      <c r="M31" s="74">
        <f t="shared" si="1"/>
        <v>0</v>
      </c>
      <c r="N31" s="61">
        <v>5.2999999999999999E-2</v>
      </c>
      <c r="O31" s="74">
        <f t="shared" si="8"/>
        <v>0</v>
      </c>
      <c r="P31" s="74">
        <f>O31*0.0025</f>
        <v>0</v>
      </c>
      <c r="Q31" s="74">
        <f t="shared" si="2"/>
        <v>0</v>
      </c>
      <c r="R31" s="92">
        <f t="shared" si="5"/>
        <v>0</v>
      </c>
      <c r="S31" s="114"/>
    </row>
    <row r="32" spans="1:20" s="24" customFormat="1" x14ac:dyDescent="0.25">
      <c r="A32" s="73">
        <v>300</v>
      </c>
      <c r="B32" s="74">
        <v>325</v>
      </c>
      <c r="C32" s="343"/>
      <c r="D32" s="343"/>
      <c r="E32" s="48">
        <v>0</v>
      </c>
      <c r="F32" s="48">
        <v>0</v>
      </c>
      <c r="G32" s="74">
        <f t="shared" si="6"/>
        <v>0</v>
      </c>
      <c r="H32" s="84">
        <v>66.64</v>
      </c>
      <c r="I32" s="85">
        <v>139.88</v>
      </c>
      <c r="J32" s="74">
        <v>1.1499999999999999</v>
      </c>
      <c r="K32" s="74">
        <f>E32*H32*J32</f>
        <v>0</v>
      </c>
      <c r="L32" s="74">
        <f t="shared" si="3"/>
        <v>0</v>
      </c>
      <c r="M32" s="74">
        <f t="shared" si="1"/>
        <v>0</v>
      </c>
      <c r="N32" s="86">
        <v>7.4999999999999997E-2</v>
      </c>
      <c r="O32" s="74">
        <f t="shared" si="8"/>
        <v>0</v>
      </c>
      <c r="P32" s="74">
        <f>O32*0.0025</f>
        <v>0</v>
      </c>
      <c r="Q32" s="74">
        <f t="shared" si="2"/>
        <v>0</v>
      </c>
      <c r="R32" s="92">
        <f>(M32+Q32)</f>
        <v>0</v>
      </c>
      <c r="S32" s="114">
        <f>R32</f>
        <v>0</v>
      </c>
    </row>
    <row r="33" spans="1:19" x14ac:dyDescent="0.25">
      <c r="A33" s="59">
        <v>350</v>
      </c>
      <c r="B33" s="48">
        <v>375</v>
      </c>
      <c r="C33" s="343"/>
      <c r="D33" s="343"/>
      <c r="E33" s="48">
        <v>0</v>
      </c>
      <c r="F33" s="48">
        <v>0</v>
      </c>
      <c r="G33" s="48">
        <f t="shared" si="6"/>
        <v>0</v>
      </c>
      <c r="H33" s="67">
        <v>78.304000000000002</v>
      </c>
      <c r="I33" s="48">
        <v>154.88</v>
      </c>
      <c r="J33" s="53">
        <v>1.1499999999999999</v>
      </c>
      <c r="K33" s="53">
        <f t="shared" si="7"/>
        <v>0</v>
      </c>
      <c r="L33" s="53">
        <f t="shared" si="3"/>
        <v>0</v>
      </c>
      <c r="M33" s="53">
        <f t="shared" si="1"/>
        <v>0</v>
      </c>
      <c r="N33" s="48">
        <v>9.6199999999999994E-2</v>
      </c>
      <c r="O33" s="53">
        <f t="shared" si="8"/>
        <v>0</v>
      </c>
      <c r="P33" s="53">
        <f>O33*0.0025</f>
        <v>0</v>
      </c>
      <c r="Q33" s="53">
        <f t="shared" si="2"/>
        <v>0</v>
      </c>
      <c r="R33" s="92">
        <f t="shared" si="5"/>
        <v>0</v>
      </c>
      <c r="S33" s="88"/>
    </row>
    <row r="34" spans="1:19" ht="15.75" thickBot="1" x14ac:dyDescent="0.3">
      <c r="A34" s="95">
        <v>400</v>
      </c>
      <c r="B34" s="96">
        <v>426</v>
      </c>
      <c r="C34" s="344"/>
      <c r="D34" s="344"/>
      <c r="E34" s="96">
        <v>0</v>
      </c>
      <c r="F34" s="96">
        <v>0</v>
      </c>
      <c r="G34" s="96">
        <f t="shared" si="6"/>
        <v>0</v>
      </c>
      <c r="H34" s="97">
        <v>89.635999999999996</v>
      </c>
      <c r="I34" s="96">
        <v>168.96</v>
      </c>
      <c r="J34" s="98">
        <v>1.1499999999999999</v>
      </c>
      <c r="K34" s="98">
        <f t="shared" si="7"/>
        <v>0</v>
      </c>
      <c r="L34" s="68">
        <f t="shared" si="3"/>
        <v>0</v>
      </c>
      <c r="M34" s="68">
        <f t="shared" si="1"/>
        <v>0</v>
      </c>
      <c r="N34" s="96">
        <v>0.126</v>
      </c>
      <c r="O34" s="98">
        <f t="shared" si="8"/>
        <v>0</v>
      </c>
      <c r="P34" s="98">
        <f>O34*0.0025</f>
        <v>0</v>
      </c>
      <c r="Q34" s="98">
        <f t="shared" si="2"/>
        <v>0</v>
      </c>
      <c r="R34" s="99">
        <f t="shared" si="5"/>
        <v>0</v>
      </c>
      <c r="S34" s="117"/>
    </row>
    <row r="35" spans="1:19" ht="15.75" thickBot="1" x14ac:dyDescent="0.3">
      <c r="A35" s="100"/>
      <c r="B35" s="101" t="s">
        <v>219</v>
      </c>
      <c r="C35" s="345"/>
      <c r="D35" s="345"/>
      <c r="E35" s="102"/>
      <c r="F35" s="102"/>
      <c r="G35" s="102"/>
      <c r="H35" s="103"/>
      <c r="I35" s="103"/>
      <c r="J35" s="103"/>
      <c r="K35" s="103"/>
      <c r="L35" s="103"/>
      <c r="M35" s="103"/>
      <c r="N35" s="104"/>
      <c r="O35" s="105"/>
      <c r="P35" s="105"/>
      <c r="Q35" s="106"/>
      <c r="R35" s="106"/>
      <c r="S35" s="118"/>
    </row>
    <row r="37" spans="1:19" x14ac:dyDescent="0.25">
      <c r="B37" s="331" t="s">
        <v>220</v>
      </c>
      <c r="C37" s="332"/>
      <c r="D37" s="333"/>
      <c r="E37" s="69">
        <v>5</v>
      </c>
    </row>
    <row r="38" spans="1:19" x14ac:dyDescent="0.25">
      <c r="B38" s="331" t="s">
        <v>221</v>
      </c>
      <c r="C38" s="332"/>
      <c r="D38" s="333"/>
      <c r="E38" s="70">
        <v>-1.7678301886792458</v>
      </c>
    </row>
    <row r="39" spans="1:19" x14ac:dyDescent="0.25">
      <c r="B39" s="331" t="s">
        <v>222</v>
      </c>
      <c r="C39" s="332"/>
      <c r="D39" s="333"/>
      <c r="E39" s="71">
        <v>5044.7999999999993</v>
      </c>
    </row>
  </sheetData>
  <mergeCells count="50">
    <mergeCell ref="B1:O1"/>
    <mergeCell ref="B2:O2"/>
    <mergeCell ref="K4:L4"/>
    <mergeCell ref="M4:P4"/>
    <mergeCell ref="K5:L5"/>
    <mergeCell ref="M5:P5"/>
    <mergeCell ref="K6:L6"/>
    <mergeCell ref="M6:P6"/>
    <mergeCell ref="K7:L7"/>
    <mergeCell ref="M7:P7"/>
    <mergeCell ref="K9:L9"/>
    <mergeCell ref="M9:P9"/>
    <mergeCell ref="K10:L10"/>
    <mergeCell ref="M10:P10"/>
    <mergeCell ref="K11:L11"/>
    <mergeCell ref="M11:P11"/>
    <mergeCell ref="K12:L12"/>
    <mergeCell ref="M12:P12"/>
    <mergeCell ref="S16:S18"/>
    <mergeCell ref="E17:E18"/>
    <mergeCell ref="F17:F18"/>
    <mergeCell ref="G17:G18"/>
    <mergeCell ref="H17:H18"/>
    <mergeCell ref="I17:I18"/>
    <mergeCell ref="L16:L18"/>
    <mergeCell ref="M16:M18"/>
    <mergeCell ref="N16:N18"/>
    <mergeCell ref="O16:O18"/>
    <mergeCell ref="P16:P18"/>
    <mergeCell ref="Q16:Q18"/>
    <mergeCell ref="E16:G16"/>
    <mergeCell ref="H16:I16"/>
    <mergeCell ref="J16:J18"/>
    <mergeCell ref="K16:K18"/>
    <mergeCell ref="B39:D39"/>
    <mergeCell ref="K8:L8"/>
    <mergeCell ref="M8:P8"/>
    <mergeCell ref="A19:R19"/>
    <mergeCell ref="C20:C34"/>
    <mergeCell ref="D20:D34"/>
    <mergeCell ref="C35:D35"/>
    <mergeCell ref="B37:D37"/>
    <mergeCell ref="B38:D38"/>
    <mergeCell ref="R16:R18"/>
    <mergeCell ref="B14:R14"/>
    <mergeCell ref="B15:R15"/>
    <mergeCell ref="A16:A18"/>
    <mergeCell ref="B16:B18"/>
    <mergeCell ref="C16:C18"/>
    <mergeCell ref="D16:D18"/>
  </mergeCells>
  <pageMargins left="0.24" right="0.19" top="0.33" bottom="0.31" header="0.31496062992125984" footer="0.31496062992125984"/>
  <pageSetup paperSize="9" scale="65" orientation="landscape" r:id="rId1"/>
  <colBreaks count="1" manualBreakCount="1">
    <brk id="19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1:T40"/>
  <sheetViews>
    <sheetView view="pageBreakPreview" zoomScale="60" zoomScaleNormal="73" workbookViewId="0">
      <selection activeCell="I17" sqref="I17:I18"/>
    </sheetView>
  </sheetViews>
  <sheetFormatPr defaultRowHeight="15" outlineLevelRow="1" x14ac:dyDescent="0.25"/>
  <cols>
    <col min="2" max="2" width="19.85546875" customWidth="1"/>
    <col min="4" max="4" width="9.85546875" bestFit="1" customWidth="1"/>
    <col min="8" max="8" width="10.7109375" customWidth="1"/>
    <col min="11" max="11" width="15.7109375" customWidth="1"/>
    <col min="13" max="13" width="9.140625" customWidth="1"/>
    <col min="17" max="17" width="10.28515625" customWidth="1"/>
  </cols>
  <sheetData>
    <row r="1" spans="1:19" ht="36" customHeight="1" x14ac:dyDescent="0.35">
      <c r="B1" s="391" t="s">
        <v>223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9" ht="45" customHeight="1" x14ac:dyDescent="0.35">
      <c r="B2" s="392" t="str">
        <f>CONCATENATE(ИП!A39," ",ИП!B39)</f>
        <v>4.2. Реконструкция подземного участка теплотрассы  по ул. Мира от СОШ №3 до ТК 37 протяженностью 468 м.п. в двухтрубном исполнении диаметром Д 159 мм. Сталь в ППУ изоляции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</row>
    <row r="4" spans="1:19" ht="127.5" customHeight="1" x14ac:dyDescent="0.25">
      <c r="B4" s="36" t="s">
        <v>191</v>
      </c>
      <c r="C4" s="36" t="s">
        <v>192</v>
      </c>
      <c r="D4" s="36" t="s">
        <v>226</v>
      </c>
      <c r="E4" s="36" t="s">
        <v>227</v>
      </c>
      <c r="F4" s="36" t="s">
        <v>228</v>
      </c>
      <c r="G4" s="36" t="s">
        <v>231</v>
      </c>
      <c r="H4" s="36" t="s">
        <v>232</v>
      </c>
      <c r="I4" s="36" t="s">
        <v>225</v>
      </c>
      <c r="J4" s="36" t="s">
        <v>294</v>
      </c>
      <c r="K4" s="393" t="s">
        <v>193</v>
      </c>
      <c r="L4" s="394"/>
      <c r="M4" s="397" t="s">
        <v>143</v>
      </c>
      <c r="N4" s="398"/>
      <c r="O4" s="398"/>
      <c r="P4" s="399"/>
    </row>
    <row r="5" spans="1:19" s="16" customFormat="1" ht="15" customHeight="1" x14ac:dyDescent="0.25">
      <c r="B5" s="121" t="s">
        <v>218</v>
      </c>
      <c r="C5" s="122"/>
      <c r="D5" s="122">
        <f>SUM(D7:D8)</f>
        <v>0.46800000000000003</v>
      </c>
      <c r="E5" s="122">
        <f t="shared" ref="E5:H5" si="0">SUM(E7:E8)</f>
        <v>0.46800000000000003</v>
      </c>
      <c r="F5" s="122">
        <f t="shared" si="0"/>
        <v>0.23400000000000001</v>
      </c>
      <c r="G5" s="122">
        <f t="shared" si="0"/>
        <v>0</v>
      </c>
      <c r="H5" s="122">
        <f t="shared" si="0"/>
        <v>0</v>
      </c>
      <c r="I5" s="122">
        <f>SUM(I7:I8)</f>
        <v>176.904</v>
      </c>
      <c r="J5" s="40"/>
      <c r="K5" s="388">
        <f>S30/I5</f>
        <v>3.1662637025785716</v>
      </c>
      <c r="L5" s="389"/>
      <c r="M5" s="396">
        <f>(P30+P31)*E40</f>
        <v>299.25249120000001</v>
      </c>
      <c r="N5" s="396"/>
      <c r="O5" s="396"/>
      <c r="P5" s="396"/>
    </row>
    <row r="6" spans="1:19" x14ac:dyDescent="0.25">
      <c r="B6" s="37" t="s">
        <v>194</v>
      </c>
      <c r="C6" s="38"/>
      <c r="D6" s="39"/>
      <c r="E6" s="39"/>
      <c r="F6" s="39"/>
      <c r="G6" s="39"/>
      <c r="H6" s="39"/>
      <c r="I6" s="48"/>
      <c r="J6" s="40"/>
      <c r="K6" s="334"/>
      <c r="L6" s="335"/>
      <c r="M6" s="336"/>
      <c r="N6" s="336"/>
      <c r="O6" s="336"/>
      <c r="P6" s="336"/>
    </row>
    <row r="7" spans="1:19" x14ac:dyDescent="0.25">
      <c r="B7" s="115">
        <v>150</v>
      </c>
      <c r="C7" s="41">
        <v>159</v>
      </c>
      <c r="D7" s="41">
        <f t="shared" ref="D7:E8" si="1">0.468/2</f>
        <v>0.23400000000000001</v>
      </c>
      <c r="E7" s="41">
        <f t="shared" si="1"/>
        <v>0.23400000000000001</v>
      </c>
      <c r="F7" s="41">
        <f>E7/2</f>
        <v>0.11700000000000001</v>
      </c>
      <c r="G7" s="41"/>
      <c r="H7" s="41"/>
      <c r="I7" s="108">
        <f>$C7*D7*2</f>
        <v>74.412000000000006</v>
      </c>
      <c r="J7" s="42"/>
      <c r="K7" s="402"/>
      <c r="L7" s="403"/>
      <c r="M7" s="336"/>
      <c r="N7" s="336"/>
      <c r="O7" s="336"/>
      <c r="P7" s="336"/>
    </row>
    <row r="8" spans="1:19" x14ac:dyDescent="0.25">
      <c r="B8" s="115">
        <v>200</v>
      </c>
      <c r="C8" s="41">
        <v>219</v>
      </c>
      <c r="D8" s="41">
        <f t="shared" si="1"/>
        <v>0.23400000000000001</v>
      </c>
      <c r="E8" s="41">
        <f t="shared" si="1"/>
        <v>0.23400000000000001</v>
      </c>
      <c r="F8" s="41">
        <f>E8/2</f>
        <v>0.11700000000000001</v>
      </c>
      <c r="G8" s="41"/>
      <c r="H8" s="41"/>
      <c r="I8" s="108">
        <f>$C8*D8*2</f>
        <v>102.492</v>
      </c>
      <c r="J8" s="42"/>
      <c r="K8" s="402"/>
      <c r="L8" s="403"/>
      <c r="M8" s="336"/>
      <c r="N8" s="336"/>
      <c r="O8" s="336"/>
      <c r="P8" s="336"/>
    </row>
    <row r="9" spans="1:19" x14ac:dyDescent="0.25">
      <c r="B9" s="115"/>
      <c r="C9" s="41"/>
      <c r="D9" s="41"/>
      <c r="E9" s="41"/>
      <c r="F9" s="41"/>
      <c r="G9" s="41"/>
      <c r="H9" s="41"/>
      <c r="I9" s="108"/>
      <c r="J9" s="42"/>
      <c r="K9" s="402"/>
      <c r="L9" s="403"/>
      <c r="M9" s="336"/>
      <c r="N9" s="336"/>
      <c r="O9" s="336"/>
      <c r="P9" s="336"/>
    </row>
    <row r="10" spans="1:19" s="16" customFormat="1" ht="15" customHeight="1" x14ac:dyDescent="0.25">
      <c r="B10" s="121" t="s">
        <v>217</v>
      </c>
      <c r="C10" s="123"/>
      <c r="D10" s="124"/>
      <c r="E10" s="124"/>
      <c r="F10" s="124">
        <f>SUM(F12)</f>
        <v>0.23400000000000001</v>
      </c>
      <c r="G10" s="124">
        <f>SUM(G12)</f>
        <v>0.46800000000000003</v>
      </c>
      <c r="H10" s="124">
        <f t="shared" ref="H10" si="2">SUM(H12)</f>
        <v>0</v>
      </c>
      <c r="I10" s="107"/>
      <c r="J10" s="72">
        <f>SUM(J12:J12)</f>
        <v>148.82400000000001</v>
      </c>
      <c r="K10" s="400">
        <f>S28/J10</f>
        <v>3.4092030413943388</v>
      </c>
      <c r="L10" s="401"/>
      <c r="M10" s="390">
        <f>(P28)*E40</f>
        <v>208.94552639999998</v>
      </c>
      <c r="N10" s="390"/>
      <c r="O10" s="390"/>
      <c r="P10" s="390"/>
    </row>
    <row r="11" spans="1:19" x14ac:dyDescent="0.25">
      <c r="B11" s="111" t="s">
        <v>194</v>
      </c>
      <c r="C11" s="41"/>
      <c r="D11" s="41"/>
      <c r="E11" s="41"/>
      <c r="F11" s="41"/>
      <c r="G11" s="41"/>
      <c r="H11" s="41"/>
      <c r="I11" s="42"/>
      <c r="J11" s="42"/>
      <c r="K11" s="334"/>
      <c r="L11" s="335"/>
      <c r="M11" s="336"/>
      <c r="N11" s="336"/>
      <c r="O11" s="336"/>
      <c r="P11" s="336"/>
    </row>
    <row r="12" spans="1:19" x14ac:dyDescent="0.25">
      <c r="B12" s="115">
        <v>150</v>
      </c>
      <c r="C12" s="116">
        <v>159</v>
      </c>
      <c r="D12" s="41"/>
      <c r="E12" s="41"/>
      <c r="F12" s="41">
        <v>0.23400000000000001</v>
      </c>
      <c r="G12" s="41">
        <v>0.46800000000000003</v>
      </c>
      <c r="H12" s="41"/>
      <c r="I12" s="41"/>
      <c r="J12" s="42">
        <f>$C12*G12*2</f>
        <v>148.82400000000001</v>
      </c>
      <c r="K12" s="402"/>
      <c r="L12" s="403"/>
      <c r="M12" s="336"/>
      <c r="N12" s="336"/>
      <c r="O12" s="336"/>
      <c r="P12" s="336"/>
    </row>
    <row r="13" spans="1:19" x14ac:dyDescent="0.25">
      <c r="H13" s="43"/>
      <c r="I13" s="43"/>
    </row>
    <row r="14" spans="1:19" ht="49.5" customHeight="1" x14ac:dyDescent="0.25">
      <c r="B14" s="349" t="s">
        <v>195</v>
      </c>
      <c r="C14" s="350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</row>
    <row r="15" spans="1:19" ht="16.5" thickBot="1" x14ac:dyDescent="0.3">
      <c r="A15" s="44"/>
      <c r="B15" s="352"/>
      <c r="C15" s="352"/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</row>
    <row r="16" spans="1:19" ht="36" customHeight="1" x14ac:dyDescent="0.25">
      <c r="A16" s="347" t="s">
        <v>196</v>
      </c>
      <c r="B16" s="404" t="s">
        <v>197</v>
      </c>
      <c r="C16" s="405" t="s">
        <v>198</v>
      </c>
      <c r="D16" s="368" t="s">
        <v>199</v>
      </c>
      <c r="E16" s="368" t="s">
        <v>200</v>
      </c>
      <c r="F16" s="368"/>
      <c r="G16" s="368"/>
      <c r="H16" s="368" t="s">
        <v>201</v>
      </c>
      <c r="I16" s="370"/>
      <c r="J16" s="372" t="s">
        <v>202</v>
      </c>
      <c r="K16" s="374" t="s">
        <v>203</v>
      </c>
      <c r="L16" s="372" t="s">
        <v>204</v>
      </c>
      <c r="M16" s="372" t="s">
        <v>205</v>
      </c>
      <c r="N16" s="372" t="s">
        <v>206</v>
      </c>
      <c r="O16" s="372" t="s">
        <v>207</v>
      </c>
      <c r="P16" s="372" t="s">
        <v>208</v>
      </c>
      <c r="Q16" s="374" t="s">
        <v>209</v>
      </c>
      <c r="R16" s="368" t="s">
        <v>210</v>
      </c>
      <c r="S16" s="365" t="s">
        <v>211</v>
      </c>
    </row>
    <row r="17" spans="1:20" ht="34.5" customHeight="1" x14ac:dyDescent="0.25">
      <c r="A17" s="347"/>
      <c r="B17" s="357"/>
      <c r="C17" s="360"/>
      <c r="D17" s="363"/>
      <c r="E17" s="368" t="s">
        <v>212</v>
      </c>
      <c r="F17" s="370" t="s">
        <v>213</v>
      </c>
      <c r="G17" s="372" t="s">
        <v>211</v>
      </c>
      <c r="H17" s="374" t="s">
        <v>214</v>
      </c>
      <c r="I17" s="368" t="s">
        <v>215</v>
      </c>
      <c r="J17" s="377"/>
      <c r="K17" s="386"/>
      <c r="L17" s="377"/>
      <c r="M17" s="378"/>
      <c r="N17" s="378"/>
      <c r="O17" s="380"/>
      <c r="P17" s="380"/>
      <c r="Q17" s="383"/>
      <c r="R17" s="368"/>
      <c r="S17" s="366"/>
    </row>
    <row r="18" spans="1:20" ht="49.5" customHeight="1" thickBot="1" x14ac:dyDescent="0.3">
      <c r="A18" s="348"/>
      <c r="B18" s="358"/>
      <c r="C18" s="361"/>
      <c r="D18" s="364"/>
      <c r="E18" s="369"/>
      <c r="F18" s="371"/>
      <c r="G18" s="373"/>
      <c r="H18" s="375"/>
      <c r="I18" s="369"/>
      <c r="J18" s="373"/>
      <c r="K18" s="375"/>
      <c r="L18" s="373"/>
      <c r="M18" s="379" t="s">
        <v>216</v>
      </c>
      <c r="N18" s="379"/>
      <c r="O18" s="381"/>
      <c r="P18" s="381"/>
      <c r="Q18" s="384"/>
      <c r="R18" s="410"/>
      <c r="S18" s="367"/>
    </row>
    <row r="19" spans="1:20" ht="15.75" x14ac:dyDescent="0.25">
      <c r="A19" s="406"/>
      <c r="B19" s="407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9"/>
      <c r="S19" s="87"/>
    </row>
    <row r="20" spans="1:20" hidden="1" x14ac:dyDescent="0.25">
      <c r="A20" s="55">
        <v>25</v>
      </c>
      <c r="B20" s="45">
        <v>32</v>
      </c>
      <c r="C20" s="342">
        <f>'[2]Исходные данные'!$J$25</f>
        <v>57</v>
      </c>
      <c r="D20" s="342">
        <f>'[2]Исходные данные'!$J$26</f>
        <v>46</v>
      </c>
      <c r="E20" s="45">
        <v>0</v>
      </c>
      <c r="F20" s="45">
        <v>0</v>
      </c>
      <c r="G20" s="125">
        <f>E20+F20</f>
        <v>0</v>
      </c>
      <c r="H20" s="56">
        <v>17.655999999999999</v>
      </c>
      <c r="I20" s="57">
        <v>41.64</v>
      </c>
      <c r="J20" s="57">
        <v>1.2</v>
      </c>
      <c r="K20" s="57">
        <f>E20*H20*J20</f>
        <v>0</v>
      </c>
      <c r="L20" s="126">
        <f>I20*F20*1.2</f>
        <v>0</v>
      </c>
      <c r="M20" s="57">
        <f t="shared" ref="M20:M35" si="3">(K20+L20)*$E$40/1000000</f>
        <v>0</v>
      </c>
      <c r="N20" s="58">
        <v>5.6999999999999998E-4</v>
      </c>
      <c r="O20" s="126">
        <f>N20*G20</f>
        <v>0</v>
      </c>
      <c r="P20" s="57">
        <f>O20*0.0025</f>
        <v>0</v>
      </c>
      <c r="Q20" s="57">
        <f t="shared" ref="Q20:Q35" si="4">1*P20*981*((0.75*C$20+(1-0.75)*D$20)-5)/1000000*$E$40</f>
        <v>0</v>
      </c>
      <c r="R20" s="127">
        <f>M20+Q20</f>
        <v>0</v>
      </c>
      <c r="S20" s="88"/>
    </row>
    <row r="21" spans="1:20" hidden="1" x14ac:dyDescent="0.25">
      <c r="A21" s="55">
        <v>32</v>
      </c>
      <c r="B21" s="45">
        <v>42</v>
      </c>
      <c r="C21" s="342"/>
      <c r="D21" s="342"/>
      <c r="E21" s="48">
        <v>0</v>
      </c>
      <c r="F21" s="48">
        <v>0</v>
      </c>
      <c r="G21" s="48">
        <f>E21+F21</f>
        <v>0</v>
      </c>
      <c r="H21" s="56">
        <v>19.210933333333333</v>
      </c>
      <c r="I21" s="57">
        <v>44.4512</v>
      </c>
      <c r="J21" s="53">
        <v>1.2</v>
      </c>
      <c r="K21" s="53">
        <f>E21*H21*J21</f>
        <v>0</v>
      </c>
      <c r="L21" s="53">
        <f t="shared" ref="L21:L35" si="5">I21*F21*1.2</f>
        <v>0</v>
      </c>
      <c r="M21" s="53">
        <f t="shared" si="3"/>
        <v>0</v>
      </c>
      <c r="N21" s="58">
        <v>9.1066666666666661E-4</v>
      </c>
      <c r="O21" s="53">
        <f>N21*G21</f>
        <v>0</v>
      </c>
      <c r="P21" s="53">
        <f t="shared" ref="P21:P31" si="6">O21*0.0025</f>
        <v>0</v>
      </c>
      <c r="Q21" s="53">
        <f t="shared" si="4"/>
        <v>0</v>
      </c>
      <c r="R21" s="92">
        <f t="shared" ref="R21:R35" si="7">M21+Q21</f>
        <v>0</v>
      </c>
      <c r="S21" s="88"/>
    </row>
    <row r="22" spans="1:20" hidden="1" x14ac:dyDescent="0.25">
      <c r="A22" s="59">
        <v>40</v>
      </c>
      <c r="B22" s="48">
        <v>45</v>
      </c>
      <c r="C22" s="343"/>
      <c r="D22" s="343"/>
      <c r="E22" s="48">
        <v>0</v>
      </c>
      <c r="F22" s="48">
        <v>0</v>
      </c>
      <c r="G22" s="48">
        <f t="shared" ref="G22:G35" si="8">E22+F22</f>
        <v>0</v>
      </c>
      <c r="H22" s="60">
        <v>20.988</v>
      </c>
      <c r="I22" s="53">
        <v>47.664000000000001</v>
      </c>
      <c r="J22" s="53">
        <v>1.2</v>
      </c>
      <c r="K22" s="53">
        <f t="shared" ref="K22:K35" si="9">E22*H22*J22</f>
        <v>0</v>
      </c>
      <c r="L22" s="53">
        <f t="shared" si="5"/>
        <v>0</v>
      </c>
      <c r="M22" s="53">
        <f t="shared" si="3"/>
        <v>0</v>
      </c>
      <c r="N22" s="61">
        <v>1.2999999999999999E-3</v>
      </c>
      <c r="O22" s="53">
        <f t="shared" ref="O22:O35" si="10">N22*G22</f>
        <v>0</v>
      </c>
      <c r="P22" s="53">
        <f t="shared" si="6"/>
        <v>0</v>
      </c>
      <c r="Q22" s="53">
        <f t="shared" si="4"/>
        <v>0</v>
      </c>
      <c r="R22" s="92">
        <f t="shared" si="7"/>
        <v>0</v>
      </c>
      <c r="S22" s="88"/>
    </row>
    <row r="23" spans="1:20" hidden="1" x14ac:dyDescent="0.25">
      <c r="A23" s="59">
        <v>50</v>
      </c>
      <c r="B23" s="48">
        <v>57</v>
      </c>
      <c r="C23" s="343"/>
      <c r="D23" s="343"/>
      <c r="E23" s="48">
        <v>0</v>
      </c>
      <c r="F23" s="48">
        <v>0</v>
      </c>
      <c r="G23" s="48">
        <f t="shared" si="8"/>
        <v>0</v>
      </c>
      <c r="H23" s="60">
        <v>23.988</v>
      </c>
      <c r="I23" s="53">
        <v>51.68</v>
      </c>
      <c r="J23" s="53">
        <v>1.2</v>
      </c>
      <c r="K23" s="53">
        <f t="shared" si="9"/>
        <v>0</v>
      </c>
      <c r="L23" s="53">
        <f t="shared" si="5"/>
        <v>0</v>
      </c>
      <c r="M23" s="53">
        <f t="shared" si="3"/>
        <v>0</v>
      </c>
      <c r="N23" s="61">
        <v>2E-3</v>
      </c>
      <c r="O23" s="53">
        <f t="shared" si="10"/>
        <v>0</v>
      </c>
      <c r="P23" s="53">
        <f>O23*0.0025</f>
        <v>0</v>
      </c>
      <c r="Q23" s="53">
        <f t="shared" si="4"/>
        <v>0</v>
      </c>
      <c r="R23" s="92">
        <f t="shared" si="7"/>
        <v>0</v>
      </c>
      <c r="S23" s="88"/>
    </row>
    <row r="24" spans="1:20" x14ac:dyDescent="0.25">
      <c r="A24" s="59">
        <v>70</v>
      </c>
      <c r="B24" s="48">
        <v>76</v>
      </c>
      <c r="C24" s="343"/>
      <c r="D24" s="343"/>
      <c r="E24" s="48">
        <v>0</v>
      </c>
      <c r="F24" s="48">
        <v>0</v>
      </c>
      <c r="G24" s="48">
        <f t="shared" si="8"/>
        <v>0</v>
      </c>
      <c r="H24" s="60">
        <v>28.32</v>
      </c>
      <c r="I24" s="53">
        <v>59.2</v>
      </c>
      <c r="J24" s="53">
        <v>1.2</v>
      </c>
      <c r="K24" s="53">
        <f t="shared" si="9"/>
        <v>0</v>
      </c>
      <c r="L24" s="53">
        <f>I24*F24*1.2</f>
        <v>0</v>
      </c>
      <c r="M24" s="53">
        <f t="shared" si="3"/>
        <v>0</v>
      </c>
      <c r="N24" s="61">
        <v>3.8999999999999998E-3</v>
      </c>
      <c r="O24" s="53">
        <f t="shared" si="10"/>
        <v>0</v>
      </c>
      <c r="P24" s="53">
        <f t="shared" si="6"/>
        <v>0</v>
      </c>
      <c r="Q24" s="53">
        <f t="shared" si="4"/>
        <v>0</v>
      </c>
      <c r="R24" s="92">
        <f t="shared" si="7"/>
        <v>0</v>
      </c>
      <c r="S24" s="88"/>
    </row>
    <row r="25" spans="1:20" s="66" customFormat="1" x14ac:dyDescent="0.25">
      <c r="A25" s="59">
        <v>80</v>
      </c>
      <c r="B25" s="48">
        <v>89</v>
      </c>
      <c r="C25" s="343"/>
      <c r="D25" s="343"/>
      <c r="E25" s="48">
        <v>0</v>
      </c>
      <c r="F25" s="48">
        <v>0</v>
      </c>
      <c r="G25" s="48">
        <f t="shared" si="8"/>
        <v>0</v>
      </c>
      <c r="H25" s="60">
        <v>31.32</v>
      </c>
      <c r="I25" s="53">
        <v>63.72</v>
      </c>
      <c r="J25" s="53">
        <v>1.2</v>
      </c>
      <c r="K25" s="53">
        <f t="shared" si="9"/>
        <v>0</v>
      </c>
      <c r="L25" s="53">
        <f t="shared" si="5"/>
        <v>0</v>
      </c>
      <c r="M25" s="53">
        <f t="shared" si="3"/>
        <v>0</v>
      </c>
      <c r="N25" s="61">
        <v>5.3E-3</v>
      </c>
      <c r="O25" s="53">
        <f t="shared" si="10"/>
        <v>0</v>
      </c>
      <c r="P25" s="53">
        <f t="shared" si="6"/>
        <v>0</v>
      </c>
      <c r="Q25" s="53">
        <f t="shared" si="4"/>
        <v>0</v>
      </c>
      <c r="R25" s="92">
        <f t="shared" si="7"/>
        <v>0</v>
      </c>
      <c r="S25" s="88"/>
    </row>
    <row r="26" spans="1:20" s="24" customFormat="1" x14ac:dyDescent="0.25">
      <c r="A26" s="73">
        <v>100</v>
      </c>
      <c r="B26" s="74">
        <v>108</v>
      </c>
      <c r="C26" s="343"/>
      <c r="D26" s="343"/>
      <c r="E26" s="74">
        <v>0</v>
      </c>
      <c r="F26" s="48">
        <v>0</v>
      </c>
      <c r="G26" s="74">
        <f t="shared" si="8"/>
        <v>0</v>
      </c>
      <c r="H26" s="75">
        <v>34.984000000000002</v>
      </c>
      <c r="I26" s="74">
        <v>70.239999999999995</v>
      </c>
      <c r="J26" s="74">
        <v>1.2</v>
      </c>
      <c r="K26" s="74">
        <f>E26*H26*J26</f>
        <v>0</v>
      </c>
      <c r="L26" s="74">
        <f>I26*F26*1.2</f>
        <v>0</v>
      </c>
      <c r="M26" s="74">
        <f t="shared" si="3"/>
        <v>0</v>
      </c>
      <c r="N26" s="61">
        <v>7.9000000000000008E-3</v>
      </c>
      <c r="O26" s="74">
        <f t="shared" si="10"/>
        <v>0</v>
      </c>
      <c r="P26" s="74">
        <f t="shared" si="6"/>
        <v>0</v>
      </c>
      <c r="Q26" s="74">
        <f t="shared" si="4"/>
        <v>0</v>
      </c>
      <c r="R26" s="92">
        <f t="shared" si="7"/>
        <v>0</v>
      </c>
      <c r="S26" s="114"/>
      <c r="T26" s="24" t="s">
        <v>217</v>
      </c>
    </row>
    <row r="27" spans="1:20" s="24" customFormat="1" x14ac:dyDescent="0.25">
      <c r="A27" s="73">
        <v>125</v>
      </c>
      <c r="B27" s="74">
        <v>133</v>
      </c>
      <c r="C27" s="343"/>
      <c r="D27" s="343"/>
      <c r="E27" s="74">
        <v>0</v>
      </c>
      <c r="F27" s="48">
        <v>0</v>
      </c>
      <c r="G27" s="74">
        <v>0</v>
      </c>
      <c r="H27" s="75">
        <v>39.316000000000003</v>
      </c>
      <c r="I27" s="74">
        <v>80.751999999999995</v>
      </c>
      <c r="J27" s="74">
        <v>1.2</v>
      </c>
      <c r="K27" s="74">
        <f t="shared" ref="K27" si="11">E27*H27*J27</f>
        <v>0</v>
      </c>
      <c r="L27" s="74">
        <f t="shared" ref="L27" si="12">I27*F27*1.2</f>
        <v>0</v>
      </c>
      <c r="M27" s="74">
        <f>(K27+L27)*$E$40/1000000</f>
        <v>0</v>
      </c>
      <c r="N27" s="61">
        <v>1.23E-2</v>
      </c>
      <c r="O27" s="74">
        <f t="shared" si="10"/>
        <v>0</v>
      </c>
      <c r="P27" s="74">
        <f t="shared" si="6"/>
        <v>0</v>
      </c>
      <c r="Q27" s="74">
        <f t="shared" si="4"/>
        <v>0</v>
      </c>
      <c r="R27" s="92">
        <f>M27+Q27</f>
        <v>0</v>
      </c>
      <c r="S27" s="114"/>
    </row>
    <row r="28" spans="1:20" s="66" customFormat="1" x14ac:dyDescent="0.25">
      <c r="A28" s="62">
        <v>150</v>
      </c>
      <c r="B28" s="63">
        <v>159</v>
      </c>
      <c r="C28" s="343"/>
      <c r="D28" s="343"/>
      <c r="E28" s="63">
        <v>0</v>
      </c>
      <c r="F28" s="63">
        <f>G12*2*1000</f>
        <v>936</v>
      </c>
      <c r="G28" s="63">
        <f t="shared" si="8"/>
        <v>936</v>
      </c>
      <c r="H28" s="64">
        <v>41.984000000000002</v>
      </c>
      <c r="I28" s="63">
        <v>87.76</v>
      </c>
      <c r="J28" s="63">
        <v>1.2</v>
      </c>
      <c r="K28" s="63">
        <f t="shared" si="9"/>
        <v>0</v>
      </c>
      <c r="L28" s="63">
        <f t="shared" si="5"/>
        <v>98572.031999999992</v>
      </c>
      <c r="M28" s="63">
        <f>(K28+L28)*$E$40/1000000</f>
        <v>497.27618703359991</v>
      </c>
      <c r="N28" s="65">
        <v>1.77E-2</v>
      </c>
      <c r="O28" s="63">
        <f>N28*G28</f>
        <v>16.5672</v>
      </c>
      <c r="P28" s="63">
        <f>O28*0.0025</f>
        <v>4.1418000000000003E-2</v>
      </c>
      <c r="Q28" s="63">
        <f t="shared" si="4"/>
        <v>10.095046398871199</v>
      </c>
      <c r="R28" s="93">
        <f t="shared" si="7"/>
        <v>507.37123343247112</v>
      </c>
      <c r="S28" s="89">
        <f>R28</f>
        <v>507.37123343247112</v>
      </c>
    </row>
    <row r="29" spans="1:20" s="24" customFormat="1" hidden="1" outlineLevel="1" x14ac:dyDescent="0.25">
      <c r="A29" s="73">
        <v>100</v>
      </c>
      <c r="B29" s="74">
        <v>108</v>
      </c>
      <c r="C29" s="343"/>
      <c r="D29" s="343"/>
      <c r="E29" s="74">
        <v>0</v>
      </c>
      <c r="F29" s="74">
        <v>0</v>
      </c>
      <c r="G29" s="74">
        <v>0</v>
      </c>
      <c r="H29" s="75">
        <v>34.984000000000002</v>
      </c>
      <c r="I29" s="74">
        <v>70.239999999999995</v>
      </c>
      <c r="J29" s="74">
        <v>1.2</v>
      </c>
      <c r="K29" s="74">
        <f>E29*H29*J29</f>
        <v>0</v>
      </c>
      <c r="L29" s="74">
        <f>I29*F29*1.2</f>
        <v>0</v>
      </c>
      <c r="M29" s="74">
        <f t="shared" si="3"/>
        <v>0</v>
      </c>
      <c r="N29" s="61">
        <v>7.9000000000000008E-3</v>
      </c>
      <c r="O29" s="74">
        <f t="shared" ref="O29" si="13">N29*G29</f>
        <v>0</v>
      </c>
      <c r="P29" s="74">
        <f t="shared" si="6"/>
        <v>0</v>
      </c>
      <c r="Q29" s="74">
        <f t="shared" si="4"/>
        <v>0</v>
      </c>
      <c r="R29" s="92">
        <f t="shared" si="7"/>
        <v>0</v>
      </c>
      <c r="S29" s="114"/>
      <c r="T29" s="24" t="s">
        <v>218</v>
      </c>
    </row>
    <row r="30" spans="1:20" s="80" customFormat="1" hidden="1" outlineLevel="1" x14ac:dyDescent="0.25">
      <c r="A30" s="76">
        <v>150</v>
      </c>
      <c r="B30" s="77">
        <v>159</v>
      </c>
      <c r="C30" s="343"/>
      <c r="D30" s="343"/>
      <c r="E30" s="77">
        <v>0</v>
      </c>
      <c r="F30" s="77">
        <f>D7*2*1000</f>
        <v>468</v>
      </c>
      <c r="G30" s="77">
        <f t="shared" si="8"/>
        <v>468</v>
      </c>
      <c r="H30" s="78">
        <v>41.984000000000002</v>
      </c>
      <c r="I30" s="77">
        <v>87.76</v>
      </c>
      <c r="J30" s="77">
        <v>1.2</v>
      </c>
      <c r="K30" s="77">
        <f t="shared" ref="K30" si="14">E30*H30*J30</f>
        <v>0</v>
      </c>
      <c r="L30" s="77">
        <f t="shared" ref="L30" si="15">I30*F30*1.2</f>
        <v>49286.015999999996</v>
      </c>
      <c r="M30" s="77">
        <f t="shared" si="3"/>
        <v>248.63809351679996</v>
      </c>
      <c r="N30" s="79">
        <v>1.77E-2</v>
      </c>
      <c r="O30" s="77">
        <f>N30*G30</f>
        <v>8.2835999999999999</v>
      </c>
      <c r="P30" s="77">
        <f t="shared" si="6"/>
        <v>2.0709000000000002E-2</v>
      </c>
      <c r="Q30" s="77">
        <f t="shared" si="4"/>
        <v>5.0475231994355996</v>
      </c>
      <c r="R30" s="94">
        <f t="shared" si="7"/>
        <v>253.68561671623556</v>
      </c>
      <c r="S30" s="90">
        <f>(R30+R31)</f>
        <v>560.12471404095959</v>
      </c>
    </row>
    <row r="31" spans="1:20" s="80" customFormat="1" hidden="1" outlineLevel="1" x14ac:dyDescent="0.25">
      <c r="A31" s="76">
        <v>200</v>
      </c>
      <c r="B31" s="77">
        <v>219</v>
      </c>
      <c r="C31" s="343"/>
      <c r="D31" s="343"/>
      <c r="E31" s="77">
        <v>0</v>
      </c>
      <c r="F31" s="77">
        <f>E8*2*1000</f>
        <v>468</v>
      </c>
      <c r="G31" s="77">
        <f t="shared" si="8"/>
        <v>468</v>
      </c>
      <c r="H31" s="78">
        <v>50.648000000000003</v>
      </c>
      <c r="I31" s="77">
        <v>104.84</v>
      </c>
      <c r="J31" s="77">
        <v>1.1499999999999999</v>
      </c>
      <c r="K31" s="77">
        <f t="shared" si="9"/>
        <v>0</v>
      </c>
      <c r="L31" s="77">
        <f t="shared" si="5"/>
        <v>58878.144</v>
      </c>
      <c r="M31" s="77">
        <f t="shared" si="3"/>
        <v>297.02846085120001</v>
      </c>
      <c r="N31" s="79">
        <v>3.3000000000000002E-2</v>
      </c>
      <c r="O31" s="77">
        <f t="shared" si="10"/>
        <v>15.444000000000001</v>
      </c>
      <c r="P31" s="77">
        <f t="shared" si="6"/>
        <v>3.8610000000000005E-2</v>
      </c>
      <c r="Q31" s="77">
        <f t="shared" si="4"/>
        <v>9.4106364735240007</v>
      </c>
      <c r="R31" s="94">
        <f>M31+Q31</f>
        <v>306.439097324724</v>
      </c>
      <c r="S31" s="90"/>
    </row>
    <row r="32" spans="1:20" s="24" customFormat="1" collapsed="1" x14ac:dyDescent="0.25">
      <c r="A32" s="73">
        <v>250</v>
      </c>
      <c r="B32" s="74">
        <v>273</v>
      </c>
      <c r="C32" s="343"/>
      <c r="D32" s="343"/>
      <c r="E32" s="48">
        <v>0</v>
      </c>
      <c r="F32" s="48">
        <v>0</v>
      </c>
      <c r="G32" s="74">
        <f t="shared" si="8"/>
        <v>0</v>
      </c>
      <c r="H32" s="75">
        <v>58.643999999999998</v>
      </c>
      <c r="I32" s="74">
        <v>123.36</v>
      </c>
      <c r="J32" s="74">
        <v>1.1499999999999999</v>
      </c>
      <c r="K32" s="74">
        <f t="shared" si="9"/>
        <v>0</v>
      </c>
      <c r="L32" s="74">
        <f t="shared" si="5"/>
        <v>0</v>
      </c>
      <c r="M32" s="74">
        <f t="shared" si="3"/>
        <v>0</v>
      </c>
      <c r="N32" s="61">
        <v>5.2999999999999999E-2</v>
      </c>
      <c r="O32" s="74">
        <f t="shared" si="10"/>
        <v>0</v>
      </c>
      <c r="P32" s="74">
        <f>O32*0.0025</f>
        <v>0</v>
      </c>
      <c r="Q32" s="74">
        <f t="shared" si="4"/>
        <v>0</v>
      </c>
      <c r="R32" s="92">
        <f t="shared" si="7"/>
        <v>0</v>
      </c>
      <c r="S32" s="114"/>
    </row>
    <row r="33" spans="1:19" s="24" customFormat="1" x14ac:dyDescent="0.25">
      <c r="A33" s="73">
        <v>300</v>
      </c>
      <c r="B33" s="74">
        <v>325</v>
      </c>
      <c r="C33" s="343"/>
      <c r="D33" s="343"/>
      <c r="E33" s="48">
        <v>0</v>
      </c>
      <c r="F33" s="48">
        <v>0</v>
      </c>
      <c r="G33" s="74">
        <f t="shared" si="8"/>
        <v>0</v>
      </c>
      <c r="H33" s="84">
        <v>66.64</v>
      </c>
      <c r="I33" s="85">
        <v>139.88</v>
      </c>
      <c r="J33" s="74">
        <v>1.1499999999999999</v>
      </c>
      <c r="K33" s="74">
        <f>E33*H33*J33</f>
        <v>0</v>
      </c>
      <c r="L33" s="74">
        <f t="shared" si="5"/>
        <v>0</v>
      </c>
      <c r="M33" s="74">
        <f t="shared" si="3"/>
        <v>0</v>
      </c>
      <c r="N33" s="86">
        <v>7.4999999999999997E-2</v>
      </c>
      <c r="O33" s="74">
        <f t="shared" si="10"/>
        <v>0</v>
      </c>
      <c r="P33" s="74">
        <f>O33*0.0025</f>
        <v>0</v>
      </c>
      <c r="Q33" s="74">
        <f t="shared" si="4"/>
        <v>0</v>
      </c>
      <c r="R33" s="92">
        <f>(M33+Q33)</f>
        <v>0</v>
      </c>
      <c r="S33" s="114">
        <f>R33</f>
        <v>0</v>
      </c>
    </row>
    <row r="34" spans="1:19" x14ac:dyDescent="0.25">
      <c r="A34" s="59">
        <v>350</v>
      </c>
      <c r="B34" s="48">
        <v>375</v>
      </c>
      <c r="C34" s="343"/>
      <c r="D34" s="343"/>
      <c r="E34" s="48">
        <v>0</v>
      </c>
      <c r="F34" s="48">
        <v>0</v>
      </c>
      <c r="G34" s="48">
        <f t="shared" si="8"/>
        <v>0</v>
      </c>
      <c r="H34" s="67">
        <v>78.304000000000002</v>
      </c>
      <c r="I34" s="48">
        <v>154.88</v>
      </c>
      <c r="J34" s="53">
        <v>1.1499999999999999</v>
      </c>
      <c r="K34" s="53">
        <f t="shared" si="9"/>
        <v>0</v>
      </c>
      <c r="L34" s="53">
        <f t="shared" si="5"/>
        <v>0</v>
      </c>
      <c r="M34" s="53">
        <f t="shared" si="3"/>
        <v>0</v>
      </c>
      <c r="N34" s="48">
        <v>9.6199999999999994E-2</v>
      </c>
      <c r="O34" s="53">
        <f t="shared" si="10"/>
        <v>0</v>
      </c>
      <c r="P34" s="53">
        <f>O34*0.0025</f>
        <v>0</v>
      </c>
      <c r="Q34" s="53">
        <f t="shared" si="4"/>
        <v>0</v>
      </c>
      <c r="R34" s="92">
        <f t="shared" si="7"/>
        <v>0</v>
      </c>
      <c r="S34" s="88"/>
    </row>
    <row r="35" spans="1:19" ht="15.75" thickBot="1" x14ac:dyDescent="0.3">
      <c r="A35" s="95">
        <v>400</v>
      </c>
      <c r="B35" s="96">
        <v>426</v>
      </c>
      <c r="C35" s="344"/>
      <c r="D35" s="344"/>
      <c r="E35" s="96">
        <v>0</v>
      </c>
      <c r="F35" s="96">
        <v>0</v>
      </c>
      <c r="G35" s="96">
        <f t="shared" si="8"/>
        <v>0</v>
      </c>
      <c r="H35" s="97">
        <v>89.635999999999996</v>
      </c>
      <c r="I35" s="96">
        <v>168.96</v>
      </c>
      <c r="J35" s="98">
        <v>1.1499999999999999</v>
      </c>
      <c r="K35" s="98">
        <f t="shared" si="9"/>
        <v>0</v>
      </c>
      <c r="L35" s="68">
        <f t="shared" si="5"/>
        <v>0</v>
      </c>
      <c r="M35" s="68">
        <f t="shared" si="3"/>
        <v>0</v>
      </c>
      <c r="N35" s="96">
        <v>0.126</v>
      </c>
      <c r="O35" s="98">
        <f t="shared" si="10"/>
        <v>0</v>
      </c>
      <c r="P35" s="98">
        <f>O35*0.0025</f>
        <v>0</v>
      </c>
      <c r="Q35" s="98">
        <f t="shared" si="4"/>
        <v>0</v>
      </c>
      <c r="R35" s="99">
        <f t="shared" si="7"/>
        <v>0</v>
      </c>
      <c r="S35" s="117"/>
    </row>
    <row r="36" spans="1:19" ht="15.75" thickBot="1" x14ac:dyDescent="0.3">
      <c r="A36" s="100"/>
      <c r="B36" s="101" t="s">
        <v>219</v>
      </c>
      <c r="C36" s="345"/>
      <c r="D36" s="345"/>
      <c r="E36" s="102"/>
      <c r="F36" s="102"/>
      <c r="G36" s="102"/>
      <c r="H36" s="103"/>
      <c r="I36" s="103"/>
      <c r="J36" s="103"/>
      <c r="K36" s="103"/>
      <c r="L36" s="103"/>
      <c r="M36" s="103"/>
      <c r="N36" s="104"/>
      <c r="O36" s="105"/>
      <c r="P36" s="105"/>
      <c r="Q36" s="106"/>
      <c r="R36" s="106"/>
      <c r="S36" s="118"/>
    </row>
    <row r="38" spans="1:19" x14ac:dyDescent="0.25">
      <c r="B38" s="331" t="s">
        <v>220</v>
      </c>
      <c r="C38" s="332"/>
      <c r="D38" s="333"/>
      <c r="E38" s="69">
        <v>5</v>
      </c>
    </row>
    <row r="39" spans="1:19" x14ac:dyDescent="0.25">
      <c r="B39" s="331" t="s">
        <v>221</v>
      </c>
      <c r="C39" s="332"/>
      <c r="D39" s="333"/>
      <c r="E39" s="70">
        <v>-1.7678301886792458</v>
      </c>
    </row>
    <row r="40" spans="1:19" x14ac:dyDescent="0.25">
      <c r="B40" s="331" t="s">
        <v>222</v>
      </c>
      <c r="C40" s="332"/>
      <c r="D40" s="333"/>
      <c r="E40" s="71">
        <v>5044.7999999999993</v>
      </c>
    </row>
  </sheetData>
  <mergeCells count="50">
    <mergeCell ref="B40:D40"/>
    <mergeCell ref="M8:P8"/>
    <mergeCell ref="K8:L8"/>
    <mergeCell ref="A19:R19"/>
    <mergeCell ref="C20:C35"/>
    <mergeCell ref="D20:D35"/>
    <mergeCell ref="C36:D36"/>
    <mergeCell ref="B38:D38"/>
    <mergeCell ref="B39:D39"/>
    <mergeCell ref="P16:P18"/>
    <mergeCell ref="Q16:Q18"/>
    <mergeCell ref="R16:R18"/>
    <mergeCell ref="K12:L12"/>
    <mergeCell ref="M12:P12"/>
    <mergeCell ref="B14:R14"/>
    <mergeCell ref="B15:R15"/>
    <mergeCell ref="S16:S18"/>
    <mergeCell ref="E17:E18"/>
    <mergeCell ref="F17:F18"/>
    <mergeCell ref="G17:G18"/>
    <mergeCell ref="H17:H18"/>
    <mergeCell ref="I17:I18"/>
    <mergeCell ref="J16:J18"/>
    <mergeCell ref="K16:K18"/>
    <mergeCell ref="L16:L18"/>
    <mergeCell ref="M16:M18"/>
    <mergeCell ref="N16:N18"/>
    <mergeCell ref="O16:O18"/>
    <mergeCell ref="H16:I16"/>
    <mergeCell ref="A16:A18"/>
    <mergeCell ref="B16:B18"/>
    <mergeCell ref="C16:C18"/>
    <mergeCell ref="D16:D18"/>
    <mergeCell ref="E16:G16"/>
    <mergeCell ref="K10:L10"/>
    <mergeCell ref="M10:P10"/>
    <mergeCell ref="K11:L11"/>
    <mergeCell ref="M11:P11"/>
    <mergeCell ref="K6:L6"/>
    <mergeCell ref="M6:P6"/>
    <mergeCell ref="K7:L7"/>
    <mergeCell ref="M7:P7"/>
    <mergeCell ref="K9:L9"/>
    <mergeCell ref="M9:P9"/>
    <mergeCell ref="B1:O1"/>
    <mergeCell ref="B2:Q2"/>
    <mergeCell ref="K4:L4"/>
    <mergeCell ref="M4:P4"/>
    <mergeCell ref="K5:L5"/>
    <mergeCell ref="M5:P5"/>
  </mergeCells>
  <pageMargins left="0.24" right="0.19" top="0.33" bottom="0.31" header="0.31496062992125984" footer="0.31496062992125984"/>
  <pageSetup paperSize="9" scale="65" orientation="landscape" r:id="rId1"/>
  <colBreaks count="1" manualBreakCount="1">
    <brk id="19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</sheetPr>
  <dimension ref="A1:T37"/>
  <sheetViews>
    <sheetView view="pageBreakPreview" topLeftCell="A4" zoomScale="60" zoomScaleNormal="73" workbookViewId="0">
      <selection activeCell="I16" sqref="A15:R18"/>
    </sheetView>
  </sheetViews>
  <sheetFormatPr defaultRowHeight="15" outlineLevelRow="1" x14ac:dyDescent="0.25"/>
  <cols>
    <col min="2" max="2" width="19.85546875" customWidth="1"/>
    <col min="4" max="4" width="9.85546875" bestFit="1" customWidth="1"/>
    <col min="8" max="8" width="10.7109375" customWidth="1"/>
    <col min="11" max="11" width="15.7109375" customWidth="1"/>
    <col min="13" max="13" width="9.140625" customWidth="1"/>
    <col min="17" max="17" width="10.28515625" customWidth="1"/>
  </cols>
  <sheetData>
    <row r="1" spans="1:19" ht="36" customHeight="1" x14ac:dyDescent="0.35">
      <c r="B1" s="391" t="s">
        <v>223</v>
      </c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</row>
    <row r="2" spans="1:19" ht="67.5" customHeight="1" x14ac:dyDescent="0.35">
      <c r="B2" s="392" t="str">
        <f>CONCATENATE(ИП!A40," ",ИП!B40)</f>
        <v>4.3. Реконструкция подземного участка теплотрассы от котельной по адресу ул. Советская д. 7б (мкр. Октябрьский). БМК-ТК8-ТК9-ТК10-ТК11 протяженностью 283 м.п. в двухтрубном исполнении диаметром Д 159 мм в Ппу изоляции со строительством тепловой камеры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</row>
    <row r="4" spans="1:19" ht="127.5" customHeight="1" x14ac:dyDescent="0.25">
      <c r="B4" s="36" t="s">
        <v>191</v>
      </c>
      <c r="C4" s="36" t="s">
        <v>192</v>
      </c>
      <c r="D4" s="36" t="s">
        <v>226</v>
      </c>
      <c r="E4" s="36" t="s">
        <v>227</v>
      </c>
      <c r="F4" s="36" t="s">
        <v>228</v>
      </c>
      <c r="G4" s="36" t="s">
        <v>231</v>
      </c>
      <c r="H4" s="36" t="s">
        <v>232</v>
      </c>
      <c r="I4" s="36" t="s">
        <v>225</v>
      </c>
      <c r="J4" s="36" t="s">
        <v>285</v>
      </c>
      <c r="K4" s="393" t="s">
        <v>193</v>
      </c>
      <c r="L4" s="394"/>
      <c r="M4" s="397" t="s">
        <v>143</v>
      </c>
      <c r="N4" s="398"/>
      <c r="O4" s="398"/>
      <c r="P4" s="399"/>
    </row>
    <row r="5" spans="1:19" s="16" customFormat="1" ht="15" customHeight="1" x14ac:dyDescent="0.25">
      <c r="B5" s="121" t="s">
        <v>218</v>
      </c>
      <c r="C5" s="122"/>
      <c r="D5" s="122">
        <f>SUM(D7:D8)</f>
        <v>0.54300000000000004</v>
      </c>
      <c r="E5" s="122">
        <f t="shared" ref="E5:F5" si="0">SUM(E7:E8)</f>
        <v>0.54300000000000004</v>
      </c>
      <c r="F5" s="122">
        <f t="shared" si="0"/>
        <v>0.54300000000000004</v>
      </c>
      <c r="G5" s="122"/>
      <c r="H5" s="122"/>
      <c r="I5" s="122">
        <f>SUM(I7:I8)</f>
        <v>151.25400000000002</v>
      </c>
      <c r="J5" s="40"/>
      <c r="K5" s="388">
        <f>S25/I5</f>
        <v>3.7481342585382715</v>
      </c>
      <c r="L5" s="389"/>
      <c r="M5" s="396">
        <f>(P25+P26)*E37*1.2</f>
        <v>252.01500192</v>
      </c>
      <c r="N5" s="396"/>
      <c r="O5" s="396"/>
      <c r="P5" s="396"/>
    </row>
    <row r="6" spans="1:19" x14ac:dyDescent="0.25">
      <c r="B6" s="37" t="s">
        <v>194</v>
      </c>
      <c r="C6" s="38"/>
      <c r="D6" s="39"/>
      <c r="E6" s="39"/>
      <c r="F6" s="39"/>
      <c r="G6" s="39"/>
      <c r="H6" s="39"/>
      <c r="I6" s="48"/>
      <c r="J6" s="40"/>
      <c r="K6" s="334"/>
      <c r="L6" s="335"/>
      <c r="M6" s="336"/>
      <c r="N6" s="336"/>
      <c r="O6" s="336"/>
      <c r="P6" s="336"/>
    </row>
    <row r="7" spans="1:19" x14ac:dyDescent="0.25">
      <c r="B7" s="115">
        <v>100</v>
      </c>
      <c r="C7" s="41">
        <v>114</v>
      </c>
      <c r="D7" s="41">
        <v>0.23799999999999999</v>
      </c>
      <c r="E7" s="41">
        <f t="shared" ref="E7:G8" si="1">D7</f>
        <v>0.23799999999999999</v>
      </c>
      <c r="F7" s="41">
        <f t="shared" si="1"/>
        <v>0.23799999999999999</v>
      </c>
      <c r="G7" s="41">
        <f t="shared" si="1"/>
        <v>0.23799999999999999</v>
      </c>
      <c r="H7" s="41"/>
      <c r="I7" s="108">
        <f>$C7*D7*2</f>
        <v>54.263999999999996</v>
      </c>
      <c r="J7" s="42"/>
      <c r="K7" s="402"/>
      <c r="L7" s="403"/>
      <c r="M7" s="336"/>
      <c r="N7" s="336"/>
      <c r="O7" s="336"/>
      <c r="P7" s="336"/>
    </row>
    <row r="8" spans="1:19" x14ac:dyDescent="0.25">
      <c r="B8" s="115">
        <v>150</v>
      </c>
      <c r="C8" s="41">
        <v>159</v>
      </c>
      <c r="D8" s="41">
        <f>(0.138+0.167)</f>
        <v>0.30500000000000005</v>
      </c>
      <c r="E8" s="41">
        <f t="shared" si="1"/>
        <v>0.30500000000000005</v>
      </c>
      <c r="F8" s="41">
        <f t="shared" si="1"/>
        <v>0.30500000000000005</v>
      </c>
      <c r="G8" s="41">
        <f t="shared" si="1"/>
        <v>0.30500000000000005</v>
      </c>
      <c r="H8" s="41"/>
      <c r="I8" s="108">
        <f>$C8*D8*2</f>
        <v>96.990000000000009</v>
      </c>
      <c r="J8" s="42"/>
      <c r="K8" s="402"/>
      <c r="L8" s="403"/>
      <c r="M8" s="336"/>
      <c r="N8" s="336"/>
      <c r="O8" s="336"/>
      <c r="P8" s="336"/>
    </row>
    <row r="9" spans="1:19" s="16" customFormat="1" ht="15" customHeight="1" x14ac:dyDescent="0.25">
      <c r="B9" s="121" t="s">
        <v>217</v>
      </c>
      <c r="C9" s="123"/>
      <c r="D9" s="124"/>
      <c r="E9" s="124"/>
      <c r="F9" s="124">
        <f>SUM(F11)</f>
        <v>0</v>
      </c>
      <c r="G9" s="124">
        <f>SUM(G11)</f>
        <v>0</v>
      </c>
      <c r="H9" s="124">
        <f t="shared" ref="H9" si="2">SUM(H11)</f>
        <v>0.28299999999999997</v>
      </c>
      <c r="I9" s="107"/>
      <c r="J9" s="72">
        <f>SUM(J11:J11)</f>
        <v>89.993999999999986</v>
      </c>
      <c r="K9" s="400">
        <f>S27/J9</f>
        <v>3.4092030413943402</v>
      </c>
      <c r="L9" s="401"/>
      <c r="M9" s="390">
        <f>(P27)*E37</f>
        <v>126.34953839999999</v>
      </c>
      <c r="N9" s="390"/>
      <c r="O9" s="390"/>
      <c r="P9" s="390"/>
    </row>
    <row r="10" spans="1:19" x14ac:dyDescent="0.25">
      <c r="B10" s="111" t="s">
        <v>194</v>
      </c>
      <c r="C10" s="41"/>
      <c r="D10" s="41"/>
      <c r="E10" s="41"/>
      <c r="F10" s="41"/>
      <c r="G10" s="41"/>
      <c r="H10" s="41"/>
      <c r="I10" s="42"/>
      <c r="J10" s="42"/>
      <c r="K10" s="334"/>
      <c r="L10" s="335"/>
      <c r="M10" s="336"/>
      <c r="N10" s="336"/>
      <c r="O10" s="336"/>
      <c r="P10" s="336"/>
    </row>
    <row r="11" spans="1:19" x14ac:dyDescent="0.25">
      <c r="B11" s="115">
        <v>150</v>
      </c>
      <c r="C11" s="116">
        <v>159</v>
      </c>
      <c r="D11" s="41"/>
      <c r="E11" s="41"/>
      <c r="F11" s="41"/>
      <c r="G11" s="41"/>
      <c r="H11" s="41">
        <v>0.28299999999999997</v>
      </c>
      <c r="I11" s="41"/>
      <c r="J11" s="42">
        <f>$C11*H11*2</f>
        <v>89.993999999999986</v>
      </c>
      <c r="K11" s="402">
        <f>S27/J11</f>
        <v>3.4092030413943402</v>
      </c>
      <c r="L11" s="403"/>
      <c r="M11" s="336"/>
      <c r="N11" s="336"/>
      <c r="O11" s="336"/>
      <c r="P11" s="336"/>
    </row>
    <row r="12" spans="1:19" x14ac:dyDescent="0.25">
      <c r="H12" s="43"/>
      <c r="I12" s="43"/>
    </row>
    <row r="13" spans="1:19" ht="49.5" customHeight="1" x14ac:dyDescent="0.25">
      <c r="B13" s="349" t="s">
        <v>195</v>
      </c>
      <c r="C13" s="350"/>
      <c r="D13" s="350"/>
      <c r="E13" s="350"/>
      <c r="F13" s="350"/>
      <c r="G13" s="350"/>
      <c r="H13" s="350"/>
      <c r="I13" s="350"/>
      <c r="J13" s="350"/>
      <c r="K13" s="350"/>
      <c r="L13" s="350"/>
      <c r="M13" s="350"/>
      <c r="N13" s="350"/>
      <c r="O13" s="350"/>
      <c r="P13" s="350"/>
      <c r="Q13" s="350"/>
      <c r="R13" s="350"/>
    </row>
    <row r="14" spans="1:19" ht="16.5" thickBot="1" x14ac:dyDescent="0.3">
      <c r="A14" s="44"/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</row>
    <row r="15" spans="1:19" ht="36" customHeight="1" x14ac:dyDescent="0.25">
      <c r="A15" s="347" t="s">
        <v>196</v>
      </c>
      <c r="B15" s="404" t="s">
        <v>197</v>
      </c>
      <c r="C15" s="405" t="s">
        <v>198</v>
      </c>
      <c r="D15" s="368" t="s">
        <v>199</v>
      </c>
      <c r="E15" s="368" t="s">
        <v>200</v>
      </c>
      <c r="F15" s="368"/>
      <c r="G15" s="368"/>
      <c r="H15" s="368" t="s">
        <v>201</v>
      </c>
      <c r="I15" s="370"/>
      <c r="J15" s="372" t="s">
        <v>202</v>
      </c>
      <c r="K15" s="374" t="s">
        <v>203</v>
      </c>
      <c r="L15" s="372" t="s">
        <v>204</v>
      </c>
      <c r="M15" s="372" t="s">
        <v>205</v>
      </c>
      <c r="N15" s="372" t="s">
        <v>206</v>
      </c>
      <c r="O15" s="372" t="s">
        <v>207</v>
      </c>
      <c r="P15" s="372" t="s">
        <v>208</v>
      </c>
      <c r="Q15" s="374" t="s">
        <v>209</v>
      </c>
      <c r="R15" s="368" t="s">
        <v>210</v>
      </c>
      <c r="S15" s="365" t="s">
        <v>211</v>
      </c>
    </row>
    <row r="16" spans="1:19" ht="34.5" customHeight="1" x14ac:dyDescent="0.25">
      <c r="A16" s="347"/>
      <c r="B16" s="357"/>
      <c r="C16" s="360"/>
      <c r="D16" s="363"/>
      <c r="E16" s="368" t="s">
        <v>212</v>
      </c>
      <c r="F16" s="370" t="s">
        <v>213</v>
      </c>
      <c r="G16" s="372" t="s">
        <v>211</v>
      </c>
      <c r="H16" s="374" t="s">
        <v>214</v>
      </c>
      <c r="I16" s="368" t="s">
        <v>215</v>
      </c>
      <c r="J16" s="377"/>
      <c r="K16" s="386"/>
      <c r="L16" s="377"/>
      <c r="M16" s="378"/>
      <c r="N16" s="378"/>
      <c r="O16" s="380"/>
      <c r="P16" s="380"/>
      <c r="Q16" s="383"/>
      <c r="R16" s="368"/>
      <c r="S16" s="366"/>
    </row>
    <row r="17" spans="1:20" ht="49.5" customHeight="1" thickBot="1" x14ac:dyDescent="0.3">
      <c r="A17" s="348"/>
      <c r="B17" s="358"/>
      <c r="C17" s="361"/>
      <c r="D17" s="364"/>
      <c r="E17" s="369"/>
      <c r="F17" s="371"/>
      <c r="G17" s="373"/>
      <c r="H17" s="375"/>
      <c r="I17" s="369"/>
      <c r="J17" s="373"/>
      <c r="K17" s="375"/>
      <c r="L17" s="373"/>
      <c r="M17" s="379" t="s">
        <v>216</v>
      </c>
      <c r="N17" s="379"/>
      <c r="O17" s="381"/>
      <c r="P17" s="381"/>
      <c r="Q17" s="384"/>
      <c r="R17" s="410"/>
      <c r="S17" s="367"/>
    </row>
    <row r="18" spans="1:20" ht="15.75" x14ac:dyDescent="0.25">
      <c r="A18" s="406"/>
      <c r="B18" s="407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9"/>
      <c r="S18" s="87"/>
    </row>
    <row r="19" spans="1:20" hidden="1" x14ac:dyDescent="0.25">
      <c r="A19" s="55">
        <v>25</v>
      </c>
      <c r="B19" s="45">
        <v>32</v>
      </c>
      <c r="C19" s="342">
        <f>'[2]Исходные данные'!$J$25</f>
        <v>57</v>
      </c>
      <c r="D19" s="342">
        <f>'[2]Исходные данные'!$J$26</f>
        <v>46</v>
      </c>
      <c r="E19" s="45">
        <v>0</v>
      </c>
      <c r="F19" s="45">
        <v>0</v>
      </c>
      <c r="G19" s="125">
        <f>E19+F19</f>
        <v>0</v>
      </c>
      <c r="H19" s="56">
        <v>17.655999999999999</v>
      </c>
      <c r="I19" s="57">
        <v>41.64</v>
      </c>
      <c r="J19" s="57">
        <v>1.2</v>
      </c>
      <c r="K19" s="57">
        <f>E19*H19*J19</f>
        <v>0</v>
      </c>
      <c r="L19" s="126">
        <f>I19*F19*1.2</f>
        <v>0</v>
      </c>
      <c r="M19" s="57">
        <f t="shared" ref="M19:M32" si="3">(K19+L19)*$E$37/1000000</f>
        <v>0</v>
      </c>
      <c r="N19" s="58">
        <v>5.6999999999999998E-4</v>
      </c>
      <c r="O19" s="126">
        <f>N19*G19</f>
        <v>0</v>
      </c>
      <c r="P19" s="57">
        <f>O19*0.0025</f>
        <v>0</v>
      </c>
      <c r="Q19" s="57">
        <f t="shared" ref="Q19:Q32" si="4">1*P19*981*((0.75*C$19+(1-0.75)*D$19)-5)/1000000*$E$37</f>
        <v>0</v>
      </c>
      <c r="R19" s="127">
        <f>M19+Q19</f>
        <v>0</v>
      </c>
      <c r="S19" s="88"/>
    </row>
    <row r="20" spans="1:20" hidden="1" x14ac:dyDescent="0.25">
      <c r="A20" s="55">
        <v>32</v>
      </c>
      <c r="B20" s="45">
        <v>42</v>
      </c>
      <c r="C20" s="342"/>
      <c r="D20" s="342"/>
      <c r="E20" s="48">
        <v>0</v>
      </c>
      <c r="F20" s="48">
        <v>0</v>
      </c>
      <c r="G20" s="48">
        <f>E20+F20</f>
        <v>0</v>
      </c>
      <c r="H20" s="56">
        <v>19.210933333333333</v>
      </c>
      <c r="I20" s="57">
        <v>44.4512</v>
      </c>
      <c r="J20" s="53">
        <v>1.2</v>
      </c>
      <c r="K20" s="53">
        <f>E20*H20*J20</f>
        <v>0</v>
      </c>
      <c r="L20" s="53">
        <f t="shared" ref="L20:L32" si="5">I20*F20*1.2</f>
        <v>0</v>
      </c>
      <c r="M20" s="53">
        <f t="shared" si="3"/>
        <v>0</v>
      </c>
      <c r="N20" s="58">
        <v>9.1066666666666661E-4</v>
      </c>
      <c r="O20" s="53">
        <f>N20*G20</f>
        <v>0</v>
      </c>
      <c r="P20" s="53">
        <f t="shared" ref="P20:P28" si="6">O20*0.0025</f>
        <v>0</v>
      </c>
      <c r="Q20" s="53">
        <f t="shared" si="4"/>
        <v>0</v>
      </c>
      <c r="R20" s="92">
        <f t="shared" ref="R20:R32" si="7">M20+Q20</f>
        <v>0</v>
      </c>
      <c r="S20" s="88"/>
    </row>
    <row r="21" spans="1:20" hidden="1" x14ac:dyDescent="0.25">
      <c r="A21" s="59">
        <v>40</v>
      </c>
      <c r="B21" s="48">
        <v>45</v>
      </c>
      <c r="C21" s="343"/>
      <c r="D21" s="343"/>
      <c r="E21" s="48">
        <v>0</v>
      </c>
      <c r="F21" s="48">
        <v>0</v>
      </c>
      <c r="G21" s="48">
        <f t="shared" ref="G21:G32" si="8">E21+F21</f>
        <v>0</v>
      </c>
      <c r="H21" s="60">
        <v>20.988</v>
      </c>
      <c r="I21" s="53">
        <v>47.664000000000001</v>
      </c>
      <c r="J21" s="53">
        <v>1.2</v>
      </c>
      <c r="K21" s="53">
        <f t="shared" ref="K21:K32" si="9">E21*H21*J21</f>
        <v>0</v>
      </c>
      <c r="L21" s="53">
        <f t="shared" si="5"/>
        <v>0</v>
      </c>
      <c r="M21" s="53">
        <f t="shared" si="3"/>
        <v>0</v>
      </c>
      <c r="N21" s="61">
        <v>1.2999999999999999E-3</v>
      </c>
      <c r="O21" s="53">
        <f t="shared" ref="O21:O32" si="10">N21*G21</f>
        <v>0</v>
      </c>
      <c r="P21" s="53">
        <f t="shared" si="6"/>
        <v>0</v>
      </c>
      <c r="Q21" s="53">
        <f t="shared" si="4"/>
        <v>0</v>
      </c>
      <c r="R21" s="92">
        <f t="shared" si="7"/>
        <v>0</v>
      </c>
      <c r="S21" s="88"/>
    </row>
    <row r="22" spans="1:20" hidden="1" x14ac:dyDescent="0.25">
      <c r="A22" s="59">
        <v>50</v>
      </c>
      <c r="B22" s="48">
        <v>57</v>
      </c>
      <c r="C22" s="343"/>
      <c r="D22" s="343"/>
      <c r="E22" s="48">
        <v>0</v>
      </c>
      <c r="F22" s="48">
        <v>0</v>
      </c>
      <c r="G22" s="48">
        <f t="shared" si="8"/>
        <v>0</v>
      </c>
      <c r="H22" s="60">
        <v>23.988</v>
      </c>
      <c r="I22" s="53">
        <v>51.68</v>
      </c>
      <c r="J22" s="53">
        <v>1.2</v>
      </c>
      <c r="K22" s="53">
        <f t="shared" si="9"/>
        <v>0</v>
      </c>
      <c r="L22" s="53">
        <f t="shared" si="5"/>
        <v>0</v>
      </c>
      <c r="M22" s="53">
        <f t="shared" si="3"/>
        <v>0</v>
      </c>
      <c r="N22" s="61">
        <v>2E-3</v>
      </c>
      <c r="O22" s="53">
        <f t="shared" si="10"/>
        <v>0</v>
      </c>
      <c r="P22" s="53">
        <f>O22*0.0025</f>
        <v>0</v>
      </c>
      <c r="Q22" s="53">
        <f t="shared" si="4"/>
        <v>0</v>
      </c>
      <c r="R22" s="92">
        <f t="shared" si="7"/>
        <v>0</v>
      </c>
      <c r="S22" s="88"/>
    </row>
    <row r="23" spans="1:20" x14ac:dyDescent="0.25">
      <c r="A23" s="59">
        <v>70</v>
      </c>
      <c r="B23" s="48">
        <v>76</v>
      </c>
      <c r="C23" s="343"/>
      <c r="D23" s="343"/>
      <c r="E23" s="48">
        <v>0</v>
      </c>
      <c r="F23" s="48">
        <v>0</v>
      </c>
      <c r="G23" s="48">
        <f t="shared" si="8"/>
        <v>0</v>
      </c>
      <c r="H23" s="60">
        <v>28.32</v>
      </c>
      <c r="I23" s="53">
        <v>59.2</v>
      </c>
      <c r="J23" s="53">
        <v>1.2</v>
      </c>
      <c r="K23" s="53">
        <f t="shared" si="9"/>
        <v>0</v>
      </c>
      <c r="L23" s="53">
        <f>I23*F23*1.2</f>
        <v>0</v>
      </c>
      <c r="M23" s="53">
        <f t="shared" si="3"/>
        <v>0</v>
      </c>
      <c r="N23" s="61">
        <v>3.8999999999999998E-3</v>
      </c>
      <c r="O23" s="53">
        <f t="shared" si="10"/>
        <v>0</v>
      </c>
      <c r="P23" s="53">
        <f t="shared" si="6"/>
        <v>0</v>
      </c>
      <c r="Q23" s="53">
        <f t="shared" si="4"/>
        <v>0</v>
      </c>
      <c r="R23" s="92">
        <f t="shared" si="7"/>
        <v>0</v>
      </c>
      <c r="S23" s="88"/>
    </row>
    <row r="24" spans="1:20" s="66" customFormat="1" x14ac:dyDescent="0.25">
      <c r="A24" s="59">
        <v>80</v>
      </c>
      <c r="B24" s="48">
        <v>89</v>
      </c>
      <c r="C24" s="343"/>
      <c r="D24" s="343"/>
      <c r="E24" s="48">
        <v>0</v>
      </c>
      <c r="F24" s="48">
        <v>0</v>
      </c>
      <c r="G24" s="48">
        <f t="shared" si="8"/>
        <v>0</v>
      </c>
      <c r="H24" s="60">
        <v>31.32</v>
      </c>
      <c r="I24" s="53">
        <v>63.72</v>
      </c>
      <c r="J24" s="53">
        <v>1.2</v>
      </c>
      <c r="K24" s="53">
        <f t="shared" si="9"/>
        <v>0</v>
      </c>
      <c r="L24" s="53">
        <f t="shared" si="5"/>
        <v>0</v>
      </c>
      <c r="M24" s="53">
        <f t="shared" si="3"/>
        <v>0</v>
      </c>
      <c r="N24" s="61">
        <v>5.3E-3</v>
      </c>
      <c r="O24" s="53">
        <f t="shared" si="10"/>
        <v>0</v>
      </c>
      <c r="P24" s="53">
        <f t="shared" si="6"/>
        <v>0</v>
      </c>
      <c r="Q24" s="53">
        <f t="shared" si="4"/>
        <v>0</v>
      </c>
      <c r="R24" s="92">
        <f t="shared" si="7"/>
        <v>0</v>
      </c>
      <c r="S24" s="88"/>
    </row>
    <row r="25" spans="1:20" s="80" customFormat="1" hidden="1" outlineLevel="1" x14ac:dyDescent="0.25">
      <c r="A25" s="76">
        <v>125</v>
      </c>
      <c r="B25" s="77">
        <v>133</v>
      </c>
      <c r="C25" s="343"/>
      <c r="D25" s="343"/>
      <c r="E25" s="77">
        <v>0</v>
      </c>
      <c r="F25" s="77">
        <f>D7*2*1000</f>
        <v>476</v>
      </c>
      <c r="G25" s="77">
        <f>E25+F25</f>
        <v>476</v>
      </c>
      <c r="H25" s="78">
        <v>39.316000000000003</v>
      </c>
      <c r="I25" s="77">
        <v>80.751999999999995</v>
      </c>
      <c r="J25" s="77">
        <v>1.2</v>
      </c>
      <c r="K25" s="77">
        <f t="shared" ref="K25" si="11">E25*H25*J25</f>
        <v>0</v>
      </c>
      <c r="L25" s="77">
        <f t="shared" ref="L25" si="12">I25*F25*1.2</f>
        <v>46125.542399999998</v>
      </c>
      <c r="M25" s="77">
        <f t="shared" si="3"/>
        <v>232.69413629951995</v>
      </c>
      <c r="N25" s="79">
        <v>1.23E-2</v>
      </c>
      <c r="O25" s="77">
        <f>N25*G25</f>
        <v>5.8548</v>
      </c>
      <c r="P25" s="77">
        <f t="shared" si="6"/>
        <v>1.4637000000000001E-2</v>
      </c>
      <c r="Q25" s="77">
        <f t="shared" si="4"/>
        <v>3.5675598565907993</v>
      </c>
      <c r="R25" s="94">
        <f>M25+Q25</f>
        <v>236.26169615611076</v>
      </c>
      <c r="S25" s="90">
        <f>R25+R26</f>
        <v>566.9202991409478</v>
      </c>
      <c r="T25" s="24" t="s">
        <v>218</v>
      </c>
    </row>
    <row r="26" spans="1:20" s="80" customFormat="1" hidden="1" outlineLevel="1" x14ac:dyDescent="0.25">
      <c r="A26" s="76">
        <v>150</v>
      </c>
      <c r="B26" s="77">
        <v>159</v>
      </c>
      <c r="C26" s="343"/>
      <c r="D26" s="343"/>
      <c r="E26" s="77">
        <v>0</v>
      </c>
      <c r="F26" s="77">
        <f>D8*2*1000</f>
        <v>610.00000000000011</v>
      </c>
      <c r="G26" s="77">
        <f>E26+F26</f>
        <v>610.00000000000011</v>
      </c>
      <c r="H26" s="78">
        <v>41.984000000000002</v>
      </c>
      <c r="I26" s="77">
        <v>87.76</v>
      </c>
      <c r="J26" s="77">
        <v>1.2</v>
      </c>
      <c r="K26" s="77">
        <f t="shared" ref="K26" si="13">E26*H26*J26</f>
        <v>0</v>
      </c>
      <c r="L26" s="77">
        <f t="shared" ref="L26" si="14">I26*F26*1.2</f>
        <v>64240.320000000014</v>
      </c>
      <c r="M26" s="77">
        <f t="shared" si="3"/>
        <v>324.07956633600003</v>
      </c>
      <c r="N26" s="79">
        <v>1.77E-2</v>
      </c>
      <c r="O26" s="77">
        <f>N26*G26</f>
        <v>10.797000000000002</v>
      </c>
      <c r="P26" s="77">
        <f t="shared" ref="P26" si="15">O26*0.0025</f>
        <v>2.6992500000000006E-2</v>
      </c>
      <c r="Q26" s="77">
        <f t="shared" si="4"/>
        <v>6.5790366488370005</v>
      </c>
      <c r="R26" s="94">
        <f t="shared" ref="R26" si="16">M26+Q26</f>
        <v>330.65860298483705</v>
      </c>
      <c r="S26" s="90"/>
      <c r="T26" s="24"/>
    </row>
    <row r="27" spans="1:20" s="66" customFormat="1" collapsed="1" x14ac:dyDescent="0.25">
      <c r="A27" s="62">
        <v>150</v>
      </c>
      <c r="B27" s="63">
        <v>159</v>
      </c>
      <c r="C27" s="343"/>
      <c r="D27" s="343"/>
      <c r="E27" s="63">
        <v>0</v>
      </c>
      <c r="F27" s="63">
        <f>H11*2*1000</f>
        <v>566</v>
      </c>
      <c r="G27" s="63">
        <f>E27+F27</f>
        <v>566</v>
      </c>
      <c r="H27" s="64">
        <v>41.984000000000002</v>
      </c>
      <c r="I27" s="63">
        <v>87.76</v>
      </c>
      <c r="J27" s="63">
        <v>1.2</v>
      </c>
      <c r="K27" s="63">
        <f t="shared" ref="K27" si="17">E27*H27*J27</f>
        <v>0</v>
      </c>
      <c r="L27" s="63">
        <f t="shared" ref="L27" si="18">I27*F27*1.2</f>
        <v>59606.592000000004</v>
      </c>
      <c r="M27" s="63">
        <f t="shared" si="3"/>
        <v>300.70333532159998</v>
      </c>
      <c r="N27" s="65">
        <v>1.77E-2</v>
      </c>
      <c r="O27" s="63">
        <f>N27*G27</f>
        <v>10.0182</v>
      </c>
      <c r="P27" s="63">
        <f t="shared" si="6"/>
        <v>2.5045500000000002E-2</v>
      </c>
      <c r="Q27" s="63">
        <f t="shared" si="4"/>
        <v>6.1044831856421995</v>
      </c>
      <c r="R27" s="93">
        <f>M27+Q27</f>
        <v>306.80781850724219</v>
      </c>
      <c r="S27" s="89">
        <f>(R27+R28)</f>
        <v>306.80781850724219</v>
      </c>
      <c r="T27" s="24" t="s">
        <v>217</v>
      </c>
    </row>
    <row r="28" spans="1:20" s="24" customFormat="1" x14ac:dyDescent="0.25">
      <c r="A28" s="73">
        <v>200</v>
      </c>
      <c r="B28" s="74">
        <v>219</v>
      </c>
      <c r="C28" s="343"/>
      <c r="D28" s="343"/>
      <c r="E28" s="74">
        <v>0</v>
      </c>
      <c r="F28" s="74">
        <v>0</v>
      </c>
      <c r="G28" s="74">
        <f t="shared" si="8"/>
        <v>0</v>
      </c>
      <c r="H28" s="75">
        <v>50.648000000000003</v>
      </c>
      <c r="I28" s="74">
        <v>104.84</v>
      </c>
      <c r="J28" s="74">
        <v>1.1499999999999999</v>
      </c>
      <c r="K28" s="74">
        <f t="shared" si="9"/>
        <v>0</v>
      </c>
      <c r="L28" s="74">
        <f>I28*F28*1.2</f>
        <v>0</v>
      </c>
      <c r="M28" s="74">
        <f>(K28+L28)*$E$37/1000000</f>
        <v>0</v>
      </c>
      <c r="N28" s="61">
        <v>3.3000000000000002E-2</v>
      </c>
      <c r="O28" s="74">
        <f t="shared" si="10"/>
        <v>0</v>
      </c>
      <c r="P28" s="74">
        <f t="shared" si="6"/>
        <v>0</v>
      </c>
      <c r="Q28" s="74">
        <f t="shared" si="4"/>
        <v>0</v>
      </c>
      <c r="R28" s="92">
        <f>M28+Q28</f>
        <v>0</v>
      </c>
      <c r="S28" s="114"/>
    </row>
    <row r="29" spans="1:20" s="24" customFormat="1" x14ac:dyDescent="0.25">
      <c r="A29" s="73">
        <v>250</v>
      </c>
      <c r="B29" s="74">
        <v>273</v>
      </c>
      <c r="C29" s="343"/>
      <c r="D29" s="343"/>
      <c r="E29" s="48">
        <v>0</v>
      </c>
      <c r="F29" s="48">
        <v>0</v>
      </c>
      <c r="G29" s="74">
        <f t="shared" si="8"/>
        <v>0</v>
      </c>
      <c r="H29" s="75">
        <v>58.643999999999998</v>
      </c>
      <c r="I29" s="74">
        <v>123.36</v>
      </c>
      <c r="J29" s="74">
        <v>1.1499999999999999</v>
      </c>
      <c r="K29" s="74">
        <f t="shared" si="9"/>
        <v>0</v>
      </c>
      <c r="L29" s="74">
        <f t="shared" si="5"/>
        <v>0</v>
      </c>
      <c r="M29" s="74">
        <f t="shared" si="3"/>
        <v>0</v>
      </c>
      <c r="N29" s="61">
        <v>5.2999999999999999E-2</v>
      </c>
      <c r="O29" s="74">
        <f t="shared" si="10"/>
        <v>0</v>
      </c>
      <c r="P29" s="74">
        <f>O29*0.0025</f>
        <v>0</v>
      </c>
      <c r="Q29" s="74">
        <f t="shared" si="4"/>
        <v>0</v>
      </c>
      <c r="R29" s="92">
        <f t="shared" si="7"/>
        <v>0</v>
      </c>
      <c r="S29" s="114"/>
    </row>
    <row r="30" spans="1:20" s="24" customFormat="1" x14ac:dyDescent="0.25">
      <c r="A30" s="73">
        <v>300</v>
      </c>
      <c r="B30" s="74">
        <v>325</v>
      </c>
      <c r="C30" s="343"/>
      <c r="D30" s="343"/>
      <c r="E30" s="48">
        <v>0</v>
      </c>
      <c r="F30" s="48">
        <v>0</v>
      </c>
      <c r="G30" s="74">
        <f t="shared" si="8"/>
        <v>0</v>
      </c>
      <c r="H30" s="84">
        <v>66.64</v>
      </c>
      <c r="I30" s="85">
        <v>139.88</v>
      </c>
      <c r="J30" s="74">
        <v>1.1499999999999999</v>
      </c>
      <c r="K30" s="74">
        <f>E30*H30*J30</f>
        <v>0</v>
      </c>
      <c r="L30" s="74">
        <f t="shared" si="5"/>
        <v>0</v>
      </c>
      <c r="M30" s="74">
        <f t="shared" si="3"/>
        <v>0</v>
      </c>
      <c r="N30" s="86">
        <v>7.4999999999999997E-2</v>
      </c>
      <c r="O30" s="74">
        <f t="shared" si="10"/>
        <v>0</v>
      </c>
      <c r="P30" s="74">
        <f>O30*0.0025</f>
        <v>0</v>
      </c>
      <c r="Q30" s="74">
        <f t="shared" si="4"/>
        <v>0</v>
      </c>
      <c r="R30" s="92">
        <f>(M30+Q30)</f>
        <v>0</v>
      </c>
      <c r="S30" s="114">
        <f>R30</f>
        <v>0</v>
      </c>
    </row>
    <row r="31" spans="1:20" s="24" customFormat="1" x14ac:dyDescent="0.25">
      <c r="A31" s="73">
        <v>350</v>
      </c>
      <c r="B31" s="74">
        <v>375</v>
      </c>
      <c r="C31" s="343"/>
      <c r="D31" s="343"/>
      <c r="E31" s="74">
        <v>0</v>
      </c>
      <c r="F31" s="74">
        <v>0</v>
      </c>
      <c r="G31" s="74">
        <f t="shared" si="8"/>
        <v>0</v>
      </c>
      <c r="H31" s="75">
        <v>78.304000000000002</v>
      </c>
      <c r="I31" s="74">
        <v>154.88</v>
      </c>
      <c r="J31" s="74">
        <v>1.1499999999999999</v>
      </c>
      <c r="K31" s="74">
        <f t="shared" si="9"/>
        <v>0</v>
      </c>
      <c r="L31" s="74">
        <f t="shared" si="5"/>
        <v>0</v>
      </c>
      <c r="M31" s="74">
        <f t="shared" si="3"/>
        <v>0</v>
      </c>
      <c r="N31" s="74">
        <v>9.6199999999999994E-2</v>
      </c>
      <c r="O31" s="74">
        <f t="shared" si="10"/>
        <v>0</v>
      </c>
      <c r="P31" s="74">
        <f>O31*0.0025</f>
        <v>0</v>
      </c>
      <c r="Q31" s="74">
        <f t="shared" si="4"/>
        <v>0</v>
      </c>
      <c r="R31" s="92">
        <f t="shared" si="7"/>
        <v>0</v>
      </c>
      <c r="S31" s="114"/>
    </row>
    <row r="32" spans="1:20" s="24" customFormat="1" ht="15.75" thickBot="1" x14ac:dyDescent="0.3">
      <c r="A32" s="130">
        <v>400</v>
      </c>
      <c r="B32" s="131">
        <v>426</v>
      </c>
      <c r="C32" s="344"/>
      <c r="D32" s="344"/>
      <c r="E32" s="131">
        <v>0</v>
      </c>
      <c r="F32" s="131">
        <v>0</v>
      </c>
      <c r="G32" s="131">
        <f t="shared" si="8"/>
        <v>0</v>
      </c>
      <c r="H32" s="132">
        <v>89.635999999999996</v>
      </c>
      <c r="I32" s="131">
        <v>168.96</v>
      </c>
      <c r="J32" s="131">
        <v>1.1499999999999999</v>
      </c>
      <c r="K32" s="131">
        <f t="shared" si="9"/>
        <v>0</v>
      </c>
      <c r="L32" s="133">
        <f t="shared" si="5"/>
        <v>0</v>
      </c>
      <c r="M32" s="133">
        <f t="shared" si="3"/>
        <v>0</v>
      </c>
      <c r="N32" s="131">
        <v>0.126</v>
      </c>
      <c r="O32" s="131">
        <f t="shared" si="10"/>
        <v>0</v>
      </c>
      <c r="P32" s="131">
        <f>O32*0.0025</f>
        <v>0</v>
      </c>
      <c r="Q32" s="131">
        <f t="shared" si="4"/>
        <v>0</v>
      </c>
      <c r="R32" s="99">
        <f t="shared" si="7"/>
        <v>0</v>
      </c>
      <c r="S32" s="134"/>
    </row>
    <row r="33" spans="1:19" ht="15.75" thickBot="1" x14ac:dyDescent="0.3">
      <c r="A33" s="100"/>
      <c r="B33" s="101" t="s">
        <v>219</v>
      </c>
      <c r="C33" s="345"/>
      <c r="D33" s="345"/>
      <c r="E33" s="102"/>
      <c r="F33" s="102"/>
      <c r="G33" s="102"/>
      <c r="H33" s="103"/>
      <c r="I33" s="103"/>
      <c r="J33" s="103"/>
      <c r="K33" s="103"/>
      <c r="L33" s="103"/>
      <c r="M33" s="103"/>
      <c r="N33" s="104"/>
      <c r="O33" s="105"/>
      <c r="P33" s="105"/>
      <c r="Q33" s="106"/>
      <c r="R33" s="106"/>
      <c r="S33" s="118"/>
    </row>
    <row r="35" spans="1:19" x14ac:dyDescent="0.25">
      <c r="B35" s="331" t="s">
        <v>220</v>
      </c>
      <c r="C35" s="332"/>
      <c r="D35" s="333"/>
      <c r="E35" s="69">
        <v>5</v>
      </c>
    </row>
    <row r="36" spans="1:19" x14ac:dyDescent="0.25">
      <c r="B36" s="331" t="s">
        <v>221</v>
      </c>
      <c r="C36" s="332"/>
      <c r="D36" s="333"/>
      <c r="E36" s="70">
        <v>-1.7678301886792458</v>
      </c>
    </row>
    <row r="37" spans="1:19" x14ac:dyDescent="0.25">
      <c r="B37" s="331" t="s">
        <v>222</v>
      </c>
      <c r="C37" s="332"/>
      <c r="D37" s="333"/>
      <c r="E37" s="71">
        <v>5044.7999999999993</v>
      </c>
    </row>
  </sheetData>
  <mergeCells count="48">
    <mergeCell ref="K6:L6"/>
    <mergeCell ref="M6:P6"/>
    <mergeCell ref="K7:L7"/>
    <mergeCell ref="M7:P7"/>
    <mergeCell ref="B1:O1"/>
    <mergeCell ref="B2:Q2"/>
    <mergeCell ref="K4:L4"/>
    <mergeCell ref="M4:P4"/>
    <mergeCell ref="K5:L5"/>
    <mergeCell ref="M5:P5"/>
    <mergeCell ref="K8:L8"/>
    <mergeCell ref="M8:P8"/>
    <mergeCell ref="K9:L9"/>
    <mergeCell ref="M9:P9"/>
    <mergeCell ref="K10:L10"/>
    <mergeCell ref="M10:P10"/>
    <mergeCell ref="K11:L11"/>
    <mergeCell ref="M11:P11"/>
    <mergeCell ref="B13:R13"/>
    <mergeCell ref="B14:R14"/>
    <mergeCell ref="A15:A17"/>
    <mergeCell ref="B15:B17"/>
    <mergeCell ref="C15:C17"/>
    <mergeCell ref="D15:D17"/>
    <mergeCell ref="E15:G15"/>
    <mergeCell ref="H15:I15"/>
    <mergeCell ref="P15:P17"/>
    <mergeCell ref="Q15:Q17"/>
    <mergeCell ref="R15:R17"/>
    <mergeCell ref="S15:S17"/>
    <mergeCell ref="E16:E17"/>
    <mergeCell ref="F16:F17"/>
    <mergeCell ref="G16:G17"/>
    <mergeCell ref="H16:H17"/>
    <mergeCell ref="I16:I17"/>
    <mergeCell ref="J15:J17"/>
    <mergeCell ref="K15:K17"/>
    <mergeCell ref="L15:L17"/>
    <mergeCell ref="M15:M17"/>
    <mergeCell ref="N15:N17"/>
    <mergeCell ref="O15:O17"/>
    <mergeCell ref="B37:D37"/>
    <mergeCell ref="A18:R18"/>
    <mergeCell ref="C19:C32"/>
    <mergeCell ref="D19:D32"/>
    <mergeCell ref="C33:D33"/>
    <mergeCell ref="B35:D35"/>
    <mergeCell ref="B36:D36"/>
  </mergeCells>
  <pageMargins left="0.24" right="0.19" top="0.33" bottom="0.31" header="0.31496062992125984" footer="0.31496062992125984"/>
  <pageSetup paperSize="9" scale="65" orientation="landscape" r:id="rId1"/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10</vt:i4>
      </vt:variant>
    </vt:vector>
  </HeadingPairs>
  <TitlesOfParts>
    <vt:vector size="25" baseType="lpstr">
      <vt:lpstr>Лист1</vt:lpstr>
      <vt:lpstr>Паспорт</vt:lpstr>
      <vt:lpstr>ИП</vt:lpstr>
      <vt:lpstr>показатели надежности</vt:lpstr>
      <vt:lpstr>ФинПлан</vt:lpstr>
      <vt:lpstr>3 ип</vt:lpstr>
      <vt:lpstr>4.1</vt:lpstr>
      <vt:lpstr>4.2</vt:lpstr>
      <vt:lpstr>4.3</vt:lpstr>
      <vt:lpstr>4.4.</vt:lpstr>
      <vt:lpstr>4.5.</vt:lpstr>
      <vt:lpstr>отчетИП</vt:lpstr>
      <vt:lpstr>отчет о надежности</vt:lpstr>
      <vt:lpstr>ИП18</vt:lpstr>
      <vt:lpstr>Лист4</vt:lpstr>
      <vt:lpstr>ИП!Заголовки_для_печати</vt:lpstr>
      <vt:lpstr>'показатели надежности'!Заголовки_для_печати</vt:lpstr>
      <vt:lpstr>'3 ип'!Область_печати</vt:lpstr>
      <vt:lpstr>'4.1'!Область_печати</vt:lpstr>
      <vt:lpstr>'4.2'!Область_печати</vt:lpstr>
      <vt:lpstr>'4.3'!Область_печати</vt:lpstr>
      <vt:lpstr>'4.4.'!Область_печати</vt:lpstr>
      <vt:lpstr>'4.5.'!Область_печати</vt:lpstr>
      <vt:lpstr>ИП!Область_печати</vt:lpstr>
      <vt:lpstr>ФинПлан!Область_печати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Наталья Сергеевна Кудрявцева</cp:lastModifiedBy>
  <cp:lastPrinted>2019-10-23T08:41:29Z</cp:lastPrinted>
  <dcterms:created xsi:type="dcterms:W3CDTF">2016-02-16T06:55:55Z</dcterms:created>
  <dcterms:modified xsi:type="dcterms:W3CDTF">2019-10-23T09:00:45Z</dcterms:modified>
</cp:coreProperties>
</file>