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ОПУБЛИКОВАНИЕ\"/>
    </mc:Choice>
  </mc:AlternateContent>
  <xr:revisionPtr revIDLastSave="0" documentId="8_{90FA29A1-C8CA-44C3-B9C0-CE90F1F7991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Расчет тарифа" sheetId="10" r:id="rId1"/>
    <sheet name="Финансовый план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Sort" localSheetId="1" hidden="1">#REF!</definedName>
    <definedName name="_Sort" hidden="1">#REF!</definedName>
    <definedName name="CALC_IDENTIFIER">[1]TECHSHEET!$E$20</definedName>
    <definedName name="CompOt">[0]!CompOt</definedName>
    <definedName name="CompRas">[0]!CompRas</definedName>
    <definedName name="kind_of_activity_11_18">[2]TEHSHEET!$G$12:$G$14</definedName>
    <definedName name="kind_of_products">[3]TEHSHEET!$H$2:$H$3</definedName>
    <definedName name="kind_of_service">[3]TEHSHEET!$I$2:$I$5</definedName>
    <definedName name="MR_LIST">[2]REESTR_MO!$D$2:$D$46</definedName>
    <definedName name="org">[2]Титульный!$F$12</definedName>
    <definedName name="p2_" localSheetId="1">#REF!</definedName>
    <definedName name="p2_">#REF!</definedName>
    <definedName name="p3_" localSheetId="1">#REF!</definedName>
    <definedName name="p3_">#REF!</definedName>
    <definedName name="p4_" localSheetId="1">#REF!</definedName>
    <definedName name="p4_">#REF!</definedName>
    <definedName name="Period">[2]TEHSHEET!$F$2:$F$4</definedName>
    <definedName name="TEMPLATE_SPHERE">[1]TECHSHEET!$E$6</definedName>
    <definedName name="Группы" localSheetId="1">#REF!</definedName>
    <definedName name="Группы">#REF!</definedName>
    <definedName name="К1" localSheetId="1">#REF!</definedName>
    <definedName name="К1">#REF!</definedName>
    <definedName name="к2" localSheetId="1">#REF!</definedName>
    <definedName name="к2">#REF!</definedName>
    <definedName name="к3" localSheetId="1">#REF!</definedName>
    <definedName name="к3">#REF!</definedName>
    <definedName name="пс" localSheetId="1">#REF!</definedName>
    <definedName name="пс">#REF!</definedName>
    <definedName name="Т7_тепло">[0]!Т7_тепло</definedName>
    <definedName name="ЦП1" localSheetId="1">#REF!</definedName>
    <definedName name="ЦП1">#REF!</definedName>
    <definedName name="ЦП2" localSheetId="1">#REF!</definedName>
    <definedName name="ЦП2">#REF!</definedName>
    <definedName name="ЦП3" localSheetId="1">#REF!</definedName>
    <definedName name="ЦП3">#REF!</definedName>
    <definedName name="ЦП4" localSheetId="1">#REF!</definedName>
    <definedName name="ЦП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11" l="1"/>
  <c r="E22" i="11" l="1"/>
  <c r="E21" i="11"/>
  <c r="E24" i="11" l="1"/>
  <c r="E12" i="11" s="1"/>
  <c r="AC98" i="11" l="1"/>
  <c r="D107" i="11" l="1"/>
  <c r="AC67" i="11"/>
  <c r="AC68" i="11"/>
  <c r="AC69" i="11"/>
  <c r="AC71" i="11"/>
  <c r="AC73" i="11"/>
  <c r="AC74" i="11"/>
  <c r="AC75" i="11"/>
  <c r="AC76" i="11"/>
  <c r="AC77" i="11"/>
  <c r="AC78" i="11"/>
  <c r="AC81" i="11"/>
  <c r="AC83" i="11"/>
  <c r="AC84" i="11"/>
  <c r="AC85" i="11"/>
  <c r="AC87" i="11"/>
  <c r="AC88" i="11"/>
  <c r="AC90" i="11"/>
  <c r="AC91" i="11"/>
  <c r="AC93" i="11"/>
  <c r="AC94" i="11"/>
  <c r="AC96" i="11"/>
  <c r="AC97" i="11"/>
  <c r="AC99" i="11"/>
  <c r="AC100" i="11"/>
  <c r="AC102" i="11"/>
  <c r="AC65" i="11"/>
  <c r="AC54" i="11"/>
  <c r="AC52" i="11"/>
  <c r="AC50" i="11"/>
  <c r="AC47" i="11"/>
  <c r="AC38" i="11"/>
  <c r="AC33" i="11"/>
  <c r="AC32" i="11"/>
  <c r="AC31" i="11"/>
  <c r="AC30" i="11"/>
  <c r="AC29" i="11"/>
  <c r="AC28" i="11"/>
  <c r="AC27" i="11"/>
  <c r="AC16" i="11"/>
  <c r="Y109" i="11"/>
  <c r="Z109" i="11"/>
  <c r="AA109" i="11"/>
  <c r="AB109" i="11"/>
  <c r="Q109" i="11" l="1"/>
  <c r="V109" i="11"/>
  <c r="X109" i="11"/>
  <c r="U109" i="11"/>
  <c r="W109" i="11"/>
  <c r="P109" i="11"/>
  <c r="R109" i="11"/>
  <c r="S109" i="11"/>
  <c r="T109" i="11"/>
  <c r="G109" i="11"/>
  <c r="H109" i="11"/>
  <c r="I109" i="11"/>
  <c r="J109" i="11"/>
  <c r="K109" i="11"/>
  <c r="L109" i="11"/>
  <c r="M109" i="11"/>
  <c r="N109" i="11"/>
  <c r="O109" i="11"/>
  <c r="F109" i="11"/>
  <c r="E72" i="11" l="1"/>
  <c r="E34" i="11"/>
  <c r="E26" i="11" s="1"/>
  <c r="D34" i="11"/>
  <c r="E25" i="11" l="1"/>
  <c r="D72" i="11"/>
  <c r="AC79" i="11"/>
  <c r="AC24" i="11"/>
  <c r="D26" i="11"/>
  <c r="E13" i="11"/>
  <c r="E111" i="11"/>
  <c r="E112" i="11"/>
  <c r="E113" i="11" s="1"/>
  <c r="D25" i="11" l="1"/>
  <c r="D112" i="11"/>
  <c r="D13" i="11"/>
  <c r="D8" i="11" l="1"/>
  <c r="D6" i="11" s="1"/>
  <c r="D111" i="11"/>
  <c r="D113" i="11"/>
  <c r="AC53" i="11"/>
  <c r="AC35" i="11"/>
  <c r="AC21" i="11"/>
  <c r="AC22" i="11"/>
  <c r="AC7" i="11"/>
  <c r="AC9" i="11"/>
  <c r="AC12" i="11"/>
  <c r="E23" i="11" l="1"/>
  <c r="E8" i="11"/>
  <c r="AC11" i="11"/>
  <c r="P23" i="11"/>
  <c r="P19" i="11" s="1"/>
  <c r="P8" i="11"/>
  <c r="P6" i="11" s="1"/>
  <c r="AC10" i="11"/>
  <c r="H72" i="11"/>
  <c r="G72" i="11"/>
  <c r="F72" i="11"/>
  <c r="D8" i="10"/>
  <c r="D7" i="10" s="1"/>
  <c r="E8" i="10"/>
  <c r="F8" i="10"/>
  <c r="G8" i="10"/>
  <c r="H8" i="10"/>
  <c r="I8" i="10"/>
  <c r="J8" i="10"/>
  <c r="K8" i="10"/>
  <c r="L8" i="10"/>
  <c r="M8" i="10"/>
  <c r="N8" i="10"/>
  <c r="O8" i="10"/>
  <c r="I72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V72" i="11"/>
  <c r="W72" i="11"/>
  <c r="X72" i="11"/>
  <c r="Y72" i="11"/>
  <c r="Z72" i="11"/>
  <c r="AA72" i="11"/>
  <c r="AB72" i="11"/>
  <c r="AC72" i="11" l="1"/>
  <c r="AC23" i="11"/>
  <c r="AC8" i="11"/>
  <c r="V20" i="10"/>
  <c r="T17" i="10"/>
  <c r="T19" i="10" s="1"/>
  <c r="T20" i="10" l="1"/>
  <c r="E20" i="11"/>
  <c r="E19" i="11" s="1"/>
  <c r="N27" i="10"/>
  <c r="N34" i="10"/>
  <c r="N37" i="10"/>
  <c r="N38" i="10"/>
  <c r="E108" i="11" l="1"/>
  <c r="E18" i="11"/>
  <c r="N26" i="10"/>
  <c r="N39" i="10" s="1"/>
  <c r="N35" i="10" l="1"/>
  <c r="AB95" i="11" l="1"/>
  <c r="AB92" i="11"/>
  <c r="AB89" i="11"/>
  <c r="AB86" i="11"/>
  <c r="G82" i="11"/>
  <c r="H48" i="11"/>
  <c r="G48" i="11"/>
  <c r="F82" i="11" l="1"/>
  <c r="AC82" i="11" s="1"/>
  <c r="F80" i="11"/>
  <c r="AC80" i="11" s="1"/>
  <c r="F48" i="11"/>
  <c r="AC48" i="11" s="1"/>
  <c r="AB49" i="11"/>
  <c r="AB46" i="11"/>
  <c r="AB45" i="11" s="1"/>
  <c r="AB37" i="11"/>
  <c r="AB36" i="11" s="1"/>
  <c r="AB34" i="11" l="1"/>
  <c r="AB26" i="11" s="1"/>
  <c r="AB25" i="11" s="1"/>
  <c r="AB112" i="11" s="1"/>
  <c r="D20" i="11" l="1"/>
  <c r="AC20" i="11" s="1"/>
  <c r="D19" i="11" l="1"/>
  <c r="AC19" i="11" s="1"/>
  <c r="AB18" i="11"/>
  <c r="D18" i="11" l="1"/>
  <c r="D108" i="11"/>
  <c r="AC108" i="11" s="1"/>
  <c r="E14" i="11"/>
  <c r="E6" i="11" s="1"/>
  <c r="D5" i="11"/>
  <c r="D109" i="11" s="1"/>
  <c r="F89" i="11"/>
  <c r="F92" i="11"/>
  <c r="F95" i="11"/>
  <c r="F51" i="11"/>
  <c r="F86" i="11"/>
  <c r="Z95" i="11"/>
  <c r="V95" i="11"/>
  <c r="R95" i="11"/>
  <c r="N95" i="11"/>
  <c r="J95" i="11"/>
  <c r="X92" i="11"/>
  <c r="P92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AC44" i="11" s="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G4" i="1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R4" i="11" s="1"/>
  <c r="S4" i="11" s="1"/>
  <c r="T4" i="11" s="1"/>
  <c r="U4" i="11" s="1"/>
  <c r="V4" i="11" s="1"/>
  <c r="W4" i="11" s="1"/>
  <c r="X4" i="11" s="1"/>
  <c r="Y4" i="11" s="1"/>
  <c r="Z4" i="11" s="1"/>
  <c r="AA4" i="11" s="1"/>
  <c r="AB4" i="11" s="1"/>
  <c r="AC37" i="11" l="1"/>
  <c r="E107" i="11"/>
  <c r="E5" i="11"/>
  <c r="AC40" i="11"/>
  <c r="AC46" i="11"/>
  <c r="AC41" i="11"/>
  <c r="AC49" i="11"/>
  <c r="AC43" i="11"/>
  <c r="AC66" i="11"/>
  <c r="D115" i="11"/>
  <c r="AC14" i="11"/>
  <c r="AC6" i="11"/>
  <c r="I95" i="11"/>
  <c r="M95" i="11"/>
  <c r="Q95" i="11"/>
  <c r="U95" i="11"/>
  <c r="Y95" i="11"/>
  <c r="G95" i="11"/>
  <c r="O95" i="11"/>
  <c r="J86" i="11"/>
  <c r="N86" i="11"/>
  <c r="R86" i="11"/>
  <c r="V86" i="11"/>
  <c r="Z86" i="11"/>
  <c r="J92" i="11"/>
  <c r="N92" i="11"/>
  <c r="R92" i="11"/>
  <c r="V92" i="11"/>
  <c r="H95" i="11"/>
  <c r="L95" i="11"/>
  <c r="P95" i="11"/>
  <c r="T95" i="11"/>
  <c r="X95" i="11"/>
  <c r="Z89" i="11"/>
  <c r="J89" i="11"/>
  <c r="N89" i="11"/>
  <c r="R89" i="11"/>
  <c r="V89" i="11"/>
  <c r="U89" i="11"/>
  <c r="G92" i="11"/>
  <c r="K92" i="11"/>
  <c r="O92" i="11"/>
  <c r="S92" i="11"/>
  <c r="W92" i="11"/>
  <c r="W95" i="11"/>
  <c r="I92" i="11"/>
  <c r="M92" i="11"/>
  <c r="Q92" i="11"/>
  <c r="U92" i="11"/>
  <c r="Y92" i="11"/>
  <c r="H36" i="11"/>
  <c r="L36" i="11"/>
  <c r="P36" i="11"/>
  <c r="G45" i="11"/>
  <c r="K45" i="11"/>
  <c r="O45" i="11"/>
  <c r="S45" i="11"/>
  <c r="W45" i="11"/>
  <c r="AA45" i="11"/>
  <c r="T36" i="11"/>
  <c r="J39" i="11"/>
  <c r="H92" i="11"/>
  <c r="N39" i="11"/>
  <c r="R39" i="11"/>
  <c r="V39" i="11"/>
  <c r="Z39" i="11"/>
  <c r="H42" i="11"/>
  <c r="L42" i="11"/>
  <c r="T92" i="11"/>
  <c r="H86" i="11"/>
  <c r="W86" i="11"/>
  <c r="K95" i="11"/>
  <c r="S95" i="11"/>
  <c r="AA95" i="11"/>
  <c r="R45" i="11"/>
  <c r="Y42" i="11"/>
  <c r="J45" i="11"/>
  <c r="N45" i="11"/>
  <c r="V45" i="11"/>
  <c r="Z45" i="11"/>
  <c r="G86" i="11"/>
  <c r="K86" i="11"/>
  <c r="O86" i="11"/>
  <c r="S86" i="11"/>
  <c r="AA86" i="11"/>
  <c r="G89" i="11"/>
  <c r="K89" i="11"/>
  <c r="O89" i="11"/>
  <c r="S89" i="11"/>
  <c r="W89" i="11"/>
  <c r="AA89" i="11"/>
  <c r="L92" i="11"/>
  <c r="H89" i="11"/>
  <c r="L89" i="11"/>
  <c r="P89" i="11"/>
  <c r="T89" i="11"/>
  <c r="X89" i="11"/>
  <c r="P42" i="11"/>
  <c r="G39" i="11"/>
  <c r="I36" i="11"/>
  <c r="M36" i="11"/>
  <c r="Q36" i="11"/>
  <c r="U36" i="11"/>
  <c r="Y36" i="11"/>
  <c r="Q45" i="11"/>
  <c r="I42" i="11"/>
  <c r="L86" i="11"/>
  <c r="P86" i="11"/>
  <c r="T86" i="11"/>
  <c r="X86" i="11"/>
  <c r="T42" i="11"/>
  <c r="X42" i="11"/>
  <c r="S36" i="11"/>
  <c r="W36" i="11"/>
  <c r="Y45" i="11"/>
  <c r="G36" i="11"/>
  <c r="K36" i="11"/>
  <c r="O39" i="11"/>
  <c r="W39" i="11"/>
  <c r="M42" i="11"/>
  <c r="Q42" i="11"/>
  <c r="U42" i="11"/>
  <c r="I45" i="11"/>
  <c r="AA36" i="11"/>
  <c r="I89" i="11"/>
  <c r="M89" i="11"/>
  <c r="O36" i="11"/>
  <c r="X36" i="11"/>
  <c r="J36" i="11"/>
  <c r="N36" i="11"/>
  <c r="R36" i="11"/>
  <c r="V36" i="11"/>
  <c r="Z36" i="11"/>
  <c r="I39" i="11"/>
  <c r="M39" i="11"/>
  <c r="Q39" i="11"/>
  <c r="U39" i="11"/>
  <c r="Y39" i="11"/>
  <c r="K39" i="11"/>
  <c r="S39" i="11"/>
  <c r="AA39" i="11"/>
  <c r="M45" i="11"/>
  <c r="U45" i="11"/>
  <c r="AA92" i="11"/>
  <c r="Q89" i="11"/>
  <c r="Y89" i="11"/>
  <c r="H39" i="11"/>
  <c r="L39" i="11"/>
  <c r="P39" i="11"/>
  <c r="T39" i="11"/>
  <c r="X39" i="11"/>
  <c r="J42" i="11"/>
  <c r="N42" i="11"/>
  <c r="R42" i="11"/>
  <c r="V42" i="11"/>
  <c r="Z42" i="11"/>
  <c r="Z92" i="11"/>
  <c r="G42" i="11"/>
  <c r="K42" i="11"/>
  <c r="O42" i="11"/>
  <c r="S42" i="11"/>
  <c r="W42" i="11"/>
  <c r="AA42" i="11"/>
  <c r="H45" i="11"/>
  <c r="L45" i="11"/>
  <c r="P45" i="11"/>
  <c r="T45" i="11"/>
  <c r="X45" i="11"/>
  <c r="I86" i="11"/>
  <c r="M86" i="11"/>
  <c r="Q86" i="11"/>
  <c r="U86" i="11"/>
  <c r="Y86" i="11"/>
  <c r="AC89" i="11" l="1"/>
  <c r="AC95" i="11"/>
  <c r="AC86" i="11"/>
  <c r="AC92" i="11"/>
  <c r="AC42" i="11"/>
  <c r="AC107" i="11"/>
  <c r="AC45" i="11"/>
  <c r="AC36" i="11"/>
  <c r="AC39" i="11"/>
  <c r="E109" i="11"/>
  <c r="J51" i="11"/>
  <c r="Y51" i="11"/>
  <c r="Z34" i="11"/>
  <c r="L51" i="11"/>
  <c r="U51" i="11"/>
  <c r="P51" i="11"/>
  <c r="W34" i="11"/>
  <c r="G34" i="11"/>
  <c r="V34" i="11"/>
  <c r="I51" i="11"/>
  <c r="O34" i="11"/>
  <c r="X34" i="11"/>
  <c r="H51" i="11"/>
  <c r="AA34" i="11"/>
  <c r="Q51" i="11"/>
  <c r="S34" i="11"/>
  <c r="T51" i="11"/>
  <c r="R34" i="11"/>
  <c r="K34" i="11"/>
  <c r="M51" i="11"/>
  <c r="N51" i="11"/>
  <c r="F34" i="11"/>
  <c r="E115" i="11" l="1"/>
  <c r="AC109" i="11"/>
  <c r="P34" i="11"/>
  <c r="L34" i="11"/>
  <c r="G51" i="11"/>
  <c r="V51" i="11"/>
  <c r="J34" i="11"/>
  <c r="Z51" i="11"/>
  <c r="U34" i="11"/>
  <c r="W51" i="11"/>
  <c r="I34" i="11"/>
  <c r="Y34" i="11"/>
  <c r="AA51" i="11"/>
  <c r="H34" i="11"/>
  <c r="N34" i="11"/>
  <c r="O51" i="11"/>
  <c r="Q34" i="11"/>
  <c r="R51" i="11"/>
  <c r="S51" i="11"/>
  <c r="X51" i="11"/>
  <c r="K51" i="11"/>
  <c r="T34" i="11"/>
  <c r="M34" i="11"/>
  <c r="AC34" i="11" l="1"/>
  <c r="AC51" i="11"/>
  <c r="N18" i="10"/>
  <c r="N19" i="10"/>
  <c r="D34" i="10"/>
  <c r="E34" i="10"/>
  <c r="F34" i="10"/>
  <c r="G34" i="10"/>
  <c r="H34" i="10"/>
  <c r="I34" i="10"/>
  <c r="J34" i="10"/>
  <c r="K34" i="10"/>
  <c r="L34" i="10"/>
  <c r="M34" i="10"/>
  <c r="O18" i="10"/>
  <c r="D37" i="10"/>
  <c r="E37" i="10"/>
  <c r="F37" i="10"/>
  <c r="G37" i="10"/>
  <c r="H37" i="10"/>
  <c r="I37" i="10"/>
  <c r="J37" i="10"/>
  <c r="K37" i="10"/>
  <c r="L37" i="10"/>
  <c r="M37" i="10"/>
  <c r="O19" i="10"/>
  <c r="D38" i="10"/>
  <c r="E38" i="10"/>
  <c r="F38" i="10"/>
  <c r="G38" i="10"/>
  <c r="H38" i="10"/>
  <c r="I38" i="10"/>
  <c r="J38" i="10"/>
  <c r="K38" i="10"/>
  <c r="L38" i="10"/>
  <c r="M38" i="10"/>
  <c r="E18" i="10"/>
  <c r="F18" i="10"/>
  <c r="G18" i="10"/>
  <c r="H18" i="10"/>
  <c r="I18" i="10"/>
  <c r="J18" i="10"/>
  <c r="K18" i="10"/>
  <c r="L18" i="10"/>
  <c r="M18" i="10"/>
  <c r="E19" i="10"/>
  <c r="F19" i="10"/>
  <c r="G19" i="10"/>
  <c r="H19" i="10"/>
  <c r="I19" i="10"/>
  <c r="J19" i="10"/>
  <c r="K19" i="10"/>
  <c r="L19" i="10"/>
  <c r="M19" i="10"/>
  <c r="O7" i="10" l="1"/>
  <c r="L27" i="10"/>
  <c r="L26" i="10" s="1"/>
  <c r="L39" i="10" s="1"/>
  <c r="H27" i="10"/>
  <c r="H26" i="10" s="1"/>
  <c r="H35" i="10" s="1"/>
  <c r="N7" i="10"/>
  <c r="N16" i="10" s="1"/>
  <c r="K27" i="10"/>
  <c r="K26" i="10" s="1"/>
  <c r="K35" i="10" s="1"/>
  <c r="I27" i="10"/>
  <c r="I26" i="10" s="1"/>
  <c r="I39" i="10" s="1"/>
  <c r="J27" i="10"/>
  <c r="J26" i="10" s="1"/>
  <c r="J40" i="10" s="1"/>
  <c r="X17" i="11" s="1"/>
  <c r="X15" i="11" s="1"/>
  <c r="G27" i="10"/>
  <c r="G26" i="10" s="1"/>
  <c r="G35" i="10" s="1"/>
  <c r="F27" i="10"/>
  <c r="F26" i="10" s="1"/>
  <c r="F39" i="10" s="1"/>
  <c r="E27" i="10"/>
  <c r="E26" i="10" s="1"/>
  <c r="E39" i="10" s="1"/>
  <c r="D27" i="10"/>
  <c r="M27" i="10"/>
  <c r="M26" i="10" s="1"/>
  <c r="M35" i="10" s="1"/>
  <c r="H7" i="10"/>
  <c r="H16" i="10" s="1"/>
  <c r="G7" i="10"/>
  <c r="M7" i="10"/>
  <c r="K7" i="10"/>
  <c r="J7" i="10"/>
  <c r="I7" i="10"/>
  <c r="L7" i="10"/>
  <c r="E7" i="10"/>
  <c r="X5" i="11" l="1"/>
  <c r="X111" i="11"/>
  <c r="L35" i="10"/>
  <c r="D26" i="10"/>
  <c r="F7" i="10"/>
  <c r="F16" i="10" s="1"/>
  <c r="N40" i="10"/>
  <c r="AB17" i="11" s="1"/>
  <c r="AB15" i="11" s="1"/>
  <c r="L40" i="10"/>
  <c r="Z17" i="11" s="1"/>
  <c r="Z15" i="11" s="1"/>
  <c r="I40" i="10"/>
  <c r="W17" i="11" s="1"/>
  <c r="W15" i="11" s="1"/>
  <c r="O21" i="10"/>
  <c r="Q17" i="11" s="1"/>
  <c r="Q15" i="11" s="1"/>
  <c r="I35" i="10"/>
  <c r="O20" i="10"/>
  <c r="J39" i="10"/>
  <c r="D16" i="10"/>
  <c r="D21" i="10"/>
  <c r="F17" i="11" s="1"/>
  <c r="D20" i="10"/>
  <c r="H40" i="10"/>
  <c r="V17" i="11" s="1"/>
  <c r="V15" i="11" s="1"/>
  <c r="J35" i="10"/>
  <c r="H39" i="10"/>
  <c r="N20" i="10"/>
  <c r="N21" i="10"/>
  <c r="P17" i="11" s="1"/>
  <c r="P15" i="11" s="1"/>
  <c r="K40" i="10"/>
  <c r="Y17" i="11" s="1"/>
  <c r="Y15" i="11" s="1"/>
  <c r="K39" i="10"/>
  <c r="E35" i="10"/>
  <c r="E40" i="10"/>
  <c r="S17" i="11" s="1"/>
  <c r="S15" i="11" s="1"/>
  <c r="F35" i="10"/>
  <c r="M40" i="10"/>
  <c r="AA17" i="11" s="1"/>
  <c r="AA15" i="11" s="1"/>
  <c r="M39" i="10"/>
  <c r="F40" i="10"/>
  <c r="T17" i="11" s="1"/>
  <c r="T15" i="11" s="1"/>
  <c r="G40" i="10"/>
  <c r="U17" i="11" s="1"/>
  <c r="U15" i="11" s="1"/>
  <c r="O16" i="10"/>
  <c r="G39" i="10"/>
  <c r="I16" i="10"/>
  <c r="I20" i="10"/>
  <c r="I21" i="10"/>
  <c r="K17" i="11" s="1"/>
  <c r="K15" i="11" s="1"/>
  <c r="E16" i="10"/>
  <c r="E21" i="10"/>
  <c r="G17" i="11" s="1"/>
  <c r="G15" i="11" s="1"/>
  <c r="E20" i="10"/>
  <c r="J16" i="10"/>
  <c r="J21" i="10"/>
  <c r="L17" i="11" s="1"/>
  <c r="L15" i="11" s="1"/>
  <c r="J20" i="10"/>
  <c r="K16" i="10"/>
  <c r="K21" i="10"/>
  <c r="M17" i="11" s="1"/>
  <c r="M15" i="11" s="1"/>
  <c r="K20" i="10"/>
  <c r="M16" i="10"/>
  <c r="M21" i="10"/>
  <c r="O17" i="11" s="1"/>
  <c r="O15" i="11" s="1"/>
  <c r="M20" i="10"/>
  <c r="L16" i="10"/>
  <c r="L21" i="10"/>
  <c r="N17" i="11" s="1"/>
  <c r="N15" i="11" s="1"/>
  <c r="L20" i="10"/>
  <c r="G16" i="10"/>
  <c r="G20" i="10"/>
  <c r="G21" i="10"/>
  <c r="I17" i="11" s="1"/>
  <c r="I15" i="11" s="1"/>
  <c r="H20" i="10"/>
  <c r="H21" i="10"/>
  <c r="J17" i="11" s="1"/>
  <c r="J15" i="11" s="1"/>
  <c r="F15" i="11" l="1"/>
  <c r="T5" i="11"/>
  <c r="T111" i="11"/>
  <c r="S5" i="11"/>
  <c r="S111" i="11"/>
  <c r="P5" i="11"/>
  <c r="P111" i="11"/>
  <c r="V5" i="11"/>
  <c r="V111" i="11"/>
  <c r="W5" i="11"/>
  <c r="W111" i="11"/>
  <c r="L5" i="11"/>
  <c r="L111" i="11"/>
  <c r="Z5" i="11"/>
  <c r="Z111" i="11"/>
  <c r="M5" i="11"/>
  <c r="M111" i="11"/>
  <c r="AB5" i="11"/>
  <c r="AB103" i="11" s="1"/>
  <c r="AB111" i="11"/>
  <c r="AB113" i="11" s="1"/>
  <c r="AB115" i="11" s="1"/>
  <c r="N5" i="11"/>
  <c r="N111" i="11"/>
  <c r="J5" i="11"/>
  <c r="J111" i="11"/>
  <c r="K5" i="11"/>
  <c r="K111" i="11"/>
  <c r="AA5" i="11"/>
  <c r="AA111" i="11"/>
  <c r="O5" i="11"/>
  <c r="O111" i="11"/>
  <c r="U5" i="11"/>
  <c r="U111" i="11"/>
  <c r="Y5" i="11"/>
  <c r="Y111" i="11"/>
  <c r="Q5" i="11"/>
  <c r="Q111" i="11"/>
  <c r="F5" i="11"/>
  <c r="F111" i="11"/>
  <c r="I5" i="11"/>
  <c r="I111" i="11"/>
  <c r="G5" i="11"/>
  <c r="G111" i="11"/>
  <c r="D35" i="10"/>
  <c r="D39" i="10"/>
  <c r="F20" i="10"/>
  <c r="D40" i="10"/>
  <c r="R17" i="11" s="1"/>
  <c r="R15" i="11" s="1"/>
  <c r="F21" i="10"/>
  <c r="H17" i="11" s="1"/>
  <c r="H15" i="11" s="1"/>
  <c r="AC17" i="11" l="1"/>
  <c r="AC15" i="11"/>
  <c r="AC5" i="11" s="1"/>
  <c r="R5" i="11"/>
  <c r="R111" i="11"/>
  <c r="H5" i="11"/>
  <c r="H111" i="11"/>
  <c r="AB104" i="11"/>
  <c r="AB106" i="11"/>
  <c r="AC111" i="11" l="1"/>
  <c r="F26" i="11"/>
  <c r="F25" i="11" l="1"/>
  <c r="G60" i="11"/>
  <c r="G58" i="11"/>
  <c r="G55" i="11"/>
  <c r="G63" i="11"/>
  <c r="I70" i="11"/>
  <c r="G62" i="11"/>
  <c r="G59" i="11"/>
  <c r="G57" i="11"/>
  <c r="G64" i="11"/>
  <c r="G61" i="11"/>
  <c r="G56" i="11"/>
  <c r="F112" i="11" l="1"/>
  <c r="H61" i="11"/>
  <c r="I61" i="11" s="1"/>
  <c r="J61" i="11" s="1"/>
  <c r="K61" i="11" s="1"/>
  <c r="L61" i="11" s="1"/>
  <c r="M61" i="11" s="1"/>
  <c r="N61" i="11" s="1"/>
  <c r="O61" i="11" s="1"/>
  <c r="P61" i="11" s="1"/>
  <c r="Q61" i="11" s="1"/>
  <c r="R61" i="11" s="1"/>
  <c r="S61" i="11" s="1"/>
  <c r="T61" i="11" s="1"/>
  <c r="U61" i="11" s="1"/>
  <c r="V61" i="11" s="1"/>
  <c r="W61" i="11" s="1"/>
  <c r="X61" i="11" s="1"/>
  <c r="Y61" i="11" s="1"/>
  <c r="Z61" i="11" s="1"/>
  <c r="AA61" i="11" s="1"/>
  <c r="H62" i="11"/>
  <c r="I62" i="11" s="1"/>
  <c r="J62" i="11" s="1"/>
  <c r="K62" i="11" s="1"/>
  <c r="L62" i="11" s="1"/>
  <c r="M62" i="11" s="1"/>
  <c r="N62" i="11" s="1"/>
  <c r="O62" i="11" s="1"/>
  <c r="P62" i="11" s="1"/>
  <c r="Q62" i="11" s="1"/>
  <c r="R62" i="11" s="1"/>
  <c r="S62" i="11" s="1"/>
  <c r="T62" i="11" s="1"/>
  <c r="U62" i="11" s="1"/>
  <c r="V62" i="11" s="1"/>
  <c r="W62" i="11" s="1"/>
  <c r="X62" i="11" s="1"/>
  <c r="Y62" i="11" s="1"/>
  <c r="Z62" i="11" s="1"/>
  <c r="AA62" i="11" s="1"/>
  <c r="H64" i="11"/>
  <c r="I64" i="11" s="1"/>
  <c r="J64" i="11" s="1"/>
  <c r="K64" i="11" s="1"/>
  <c r="L64" i="11" s="1"/>
  <c r="M64" i="11" s="1"/>
  <c r="N64" i="11" s="1"/>
  <c r="O64" i="11" s="1"/>
  <c r="P64" i="11" s="1"/>
  <c r="Q64" i="11" s="1"/>
  <c r="R64" i="11" s="1"/>
  <c r="S64" i="11" s="1"/>
  <c r="T64" i="11" s="1"/>
  <c r="U64" i="11" s="1"/>
  <c r="V64" i="11" s="1"/>
  <c r="W64" i="11" s="1"/>
  <c r="X64" i="11" s="1"/>
  <c r="Y64" i="11" s="1"/>
  <c r="Z64" i="11" s="1"/>
  <c r="AA64" i="11" s="1"/>
  <c r="J70" i="11"/>
  <c r="K70" i="11" s="1"/>
  <c r="L70" i="11" s="1"/>
  <c r="M70" i="11" s="1"/>
  <c r="N70" i="11" s="1"/>
  <c r="O70" i="11" s="1"/>
  <c r="P70" i="11" s="1"/>
  <c r="Q70" i="11" s="1"/>
  <c r="R70" i="11" s="1"/>
  <c r="S70" i="11" s="1"/>
  <c r="T70" i="11" s="1"/>
  <c r="U70" i="11" s="1"/>
  <c r="V70" i="11" s="1"/>
  <c r="W70" i="11" s="1"/>
  <c r="X70" i="11" s="1"/>
  <c r="Y70" i="11" s="1"/>
  <c r="Z70" i="11" s="1"/>
  <c r="AA70" i="11" s="1"/>
  <c r="AB70" i="11" s="1"/>
  <c r="H60" i="11"/>
  <c r="I60" i="11" s="1"/>
  <c r="J60" i="11" s="1"/>
  <c r="K60" i="11" s="1"/>
  <c r="L60" i="11" s="1"/>
  <c r="M60" i="11" s="1"/>
  <c r="N60" i="11" s="1"/>
  <c r="O60" i="11" s="1"/>
  <c r="P60" i="11" s="1"/>
  <c r="Q60" i="11" s="1"/>
  <c r="R60" i="11" s="1"/>
  <c r="S60" i="11" s="1"/>
  <c r="T60" i="11" s="1"/>
  <c r="U60" i="11" s="1"/>
  <c r="V60" i="11" s="1"/>
  <c r="W60" i="11" s="1"/>
  <c r="X60" i="11" s="1"/>
  <c r="Y60" i="11" s="1"/>
  <c r="Z60" i="11" s="1"/>
  <c r="AA60" i="11" s="1"/>
  <c r="H57" i="11"/>
  <c r="I57" i="11" s="1"/>
  <c r="J57" i="11" s="1"/>
  <c r="K57" i="11" s="1"/>
  <c r="L57" i="11" s="1"/>
  <c r="M57" i="11" s="1"/>
  <c r="N57" i="11" s="1"/>
  <c r="O57" i="11" s="1"/>
  <c r="P57" i="11" s="1"/>
  <c r="Q57" i="11" s="1"/>
  <c r="R57" i="11" s="1"/>
  <c r="S57" i="11" s="1"/>
  <c r="T57" i="11" s="1"/>
  <c r="U57" i="11" s="1"/>
  <c r="V57" i="11" s="1"/>
  <c r="W57" i="11" s="1"/>
  <c r="X57" i="11" s="1"/>
  <c r="Y57" i="11" s="1"/>
  <c r="Z57" i="11" s="1"/>
  <c r="AA57" i="11" s="1"/>
  <c r="H63" i="11"/>
  <c r="I63" i="11" s="1"/>
  <c r="J63" i="11" s="1"/>
  <c r="K63" i="11" s="1"/>
  <c r="L63" i="11" s="1"/>
  <c r="M63" i="11" s="1"/>
  <c r="N63" i="11" s="1"/>
  <c r="O63" i="11" s="1"/>
  <c r="P63" i="11" s="1"/>
  <c r="Q63" i="11" s="1"/>
  <c r="R63" i="11" s="1"/>
  <c r="S63" i="11" s="1"/>
  <c r="T63" i="11" s="1"/>
  <c r="U63" i="11" s="1"/>
  <c r="V63" i="11" s="1"/>
  <c r="W63" i="11" s="1"/>
  <c r="X63" i="11" s="1"/>
  <c r="Y63" i="11" s="1"/>
  <c r="Z63" i="11" s="1"/>
  <c r="AA63" i="11" s="1"/>
  <c r="F18" i="11"/>
  <c r="H56" i="11"/>
  <c r="I56" i="11" s="1"/>
  <c r="J56" i="11" s="1"/>
  <c r="K56" i="11" s="1"/>
  <c r="L56" i="11" s="1"/>
  <c r="M56" i="11" s="1"/>
  <c r="N56" i="11" s="1"/>
  <c r="O56" i="11" s="1"/>
  <c r="P56" i="11" s="1"/>
  <c r="Q56" i="11" s="1"/>
  <c r="R56" i="11" s="1"/>
  <c r="S56" i="11" s="1"/>
  <c r="T56" i="11" s="1"/>
  <c r="U56" i="11" s="1"/>
  <c r="V56" i="11" s="1"/>
  <c r="W56" i="11" s="1"/>
  <c r="X56" i="11" s="1"/>
  <c r="Y56" i="11" s="1"/>
  <c r="Z56" i="11" s="1"/>
  <c r="AA56" i="11" s="1"/>
  <c r="H59" i="11"/>
  <c r="I59" i="11" s="1"/>
  <c r="J59" i="11" s="1"/>
  <c r="K59" i="11" s="1"/>
  <c r="L59" i="11" s="1"/>
  <c r="M59" i="11" s="1"/>
  <c r="N59" i="11" s="1"/>
  <c r="O59" i="11" s="1"/>
  <c r="P59" i="11" s="1"/>
  <c r="Q59" i="11" s="1"/>
  <c r="R59" i="11" s="1"/>
  <c r="S59" i="11" s="1"/>
  <c r="T59" i="11" s="1"/>
  <c r="U59" i="11" s="1"/>
  <c r="V59" i="11" s="1"/>
  <c r="W59" i="11" s="1"/>
  <c r="X59" i="11" s="1"/>
  <c r="Y59" i="11" s="1"/>
  <c r="Z59" i="11" s="1"/>
  <c r="AA59" i="11" s="1"/>
  <c r="H55" i="11"/>
  <c r="I55" i="11" s="1"/>
  <c r="J55" i="11" s="1"/>
  <c r="K55" i="11" s="1"/>
  <c r="L55" i="11" s="1"/>
  <c r="M55" i="11" s="1"/>
  <c r="N55" i="11" s="1"/>
  <c r="O55" i="11" s="1"/>
  <c r="P55" i="11" s="1"/>
  <c r="Q55" i="11" s="1"/>
  <c r="R55" i="11" s="1"/>
  <c r="S55" i="11" s="1"/>
  <c r="T55" i="11" s="1"/>
  <c r="U55" i="11" s="1"/>
  <c r="V55" i="11" s="1"/>
  <c r="W55" i="11" s="1"/>
  <c r="X55" i="11" s="1"/>
  <c r="Y55" i="11" s="1"/>
  <c r="Z55" i="11" s="1"/>
  <c r="AA55" i="11" s="1"/>
  <c r="H58" i="11"/>
  <c r="I58" i="11" s="1"/>
  <c r="J58" i="11" s="1"/>
  <c r="K58" i="11" s="1"/>
  <c r="L58" i="11" s="1"/>
  <c r="M58" i="11" s="1"/>
  <c r="N58" i="11" s="1"/>
  <c r="O58" i="11" s="1"/>
  <c r="P58" i="11" s="1"/>
  <c r="Q58" i="11" s="1"/>
  <c r="R58" i="11" s="1"/>
  <c r="S58" i="11" s="1"/>
  <c r="T58" i="11" s="1"/>
  <c r="U58" i="11" s="1"/>
  <c r="V58" i="11" s="1"/>
  <c r="W58" i="11" s="1"/>
  <c r="X58" i="11" s="1"/>
  <c r="Y58" i="11" s="1"/>
  <c r="Z58" i="11" s="1"/>
  <c r="AA58" i="11" s="1"/>
  <c r="W26" i="11"/>
  <c r="W25" i="11" s="1"/>
  <c r="T26" i="11"/>
  <c r="T25" i="11" s="1"/>
  <c r="K26" i="11"/>
  <c r="K25" i="11" s="1"/>
  <c r="V26" i="11"/>
  <c r="V25" i="11" s="1"/>
  <c r="Q26" i="11"/>
  <c r="Q25" i="11" s="1"/>
  <c r="Y26" i="11"/>
  <c r="Y25" i="11" s="1"/>
  <c r="N26" i="11"/>
  <c r="N25" i="11" s="1"/>
  <c r="S26" i="11"/>
  <c r="S25" i="11" s="1"/>
  <c r="L26" i="11"/>
  <c r="L25" i="11" s="1"/>
  <c r="AA26" i="11"/>
  <c r="AA25" i="11" s="1"/>
  <c r="G26" i="11"/>
  <c r="M26" i="11"/>
  <c r="M25" i="11" s="1"/>
  <c r="J26" i="11"/>
  <c r="J25" i="11" s="1"/>
  <c r="I26" i="11"/>
  <c r="I25" i="11" s="1"/>
  <c r="X26" i="11"/>
  <c r="X25" i="11" s="1"/>
  <c r="R26" i="11"/>
  <c r="R25" i="11" s="1"/>
  <c r="P26" i="11"/>
  <c r="P25" i="11" s="1"/>
  <c r="U26" i="11"/>
  <c r="U25" i="11" s="1"/>
  <c r="Z26" i="11"/>
  <c r="Z25" i="11" s="1"/>
  <c r="O26" i="11"/>
  <c r="O25" i="11" s="1"/>
  <c r="H26" i="11"/>
  <c r="H25" i="11" s="1"/>
  <c r="H112" i="11" s="1"/>
  <c r="AC55" i="11" l="1"/>
  <c r="AC56" i="11"/>
  <c r="AC58" i="11"/>
  <c r="AC59" i="11"/>
  <c r="F103" i="11"/>
  <c r="F104" i="11" s="1"/>
  <c r="F113" i="11"/>
  <c r="F115" i="11" s="1"/>
  <c r="AC57" i="11"/>
  <c r="AC70" i="11"/>
  <c r="AC62" i="11"/>
  <c r="AC63" i="11"/>
  <c r="AC60" i="11"/>
  <c r="AC64" i="11"/>
  <c r="AC61" i="11"/>
  <c r="G25" i="11"/>
  <c r="AC26" i="11"/>
  <c r="U112" i="11"/>
  <c r="U113" i="11" s="1"/>
  <c r="U115" i="11" s="1"/>
  <c r="I112" i="11"/>
  <c r="I113" i="11" s="1"/>
  <c r="I115" i="11" s="1"/>
  <c r="AA112" i="11"/>
  <c r="AA113" i="11" s="1"/>
  <c r="AA115" i="11" s="1"/>
  <c r="Y112" i="11"/>
  <c r="Y113" i="11" s="1"/>
  <c r="Y115" i="11" s="1"/>
  <c r="J112" i="11"/>
  <c r="J113" i="11" s="1"/>
  <c r="J115" i="11" s="1"/>
  <c r="L112" i="11"/>
  <c r="L113" i="11" s="1"/>
  <c r="L115" i="11" s="1"/>
  <c r="Q112" i="11"/>
  <c r="Q113" i="11" s="1"/>
  <c r="Q115" i="11" s="1"/>
  <c r="K112" i="11"/>
  <c r="K113" i="11" s="1"/>
  <c r="K115" i="11" s="1"/>
  <c r="P112" i="11"/>
  <c r="P113" i="11" s="1"/>
  <c r="P115" i="11" s="1"/>
  <c r="R112" i="11"/>
  <c r="R113" i="11" s="1"/>
  <c r="R115" i="11" s="1"/>
  <c r="M112" i="11"/>
  <c r="M113" i="11" s="1"/>
  <c r="M115" i="11" s="1"/>
  <c r="S112" i="11"/>
  <c r="S113" i="11" s="1"/>
  <c r="S115" i="11" s="1"/>
  <c r="V112" i="11"/>
  <c r="V113" i="11" s="1"/>
  <c r="V115" i="11" s="1"/>
  <c r="T112" i="11"/>
  <c r="T113" i="11" s="1"/>
  <c r="T115" i="11" s="1"/>
  <c r="O112" i="11"/>
  <c r="O113" i="11" s="1"/>
  <c r="O115" i="11" s="1"/>
  <c r="Z112" i="11"/>
  <c r="Z113" i="11" s="1"/>
  <c r="Z115" i="11" s="1"/>
  <c r="X112" i="11"/>
  <c r="X113" i="11" s="1"/>
  <c r="X115" i="11" s="1"/>
  <c r="N112" i="11"/>
  <c r="N113" i="11" s="1"/>
  <c r="N115" i="11" s="1"/>
  <c r="W112" i="11"/>
  <c r="W113" i="11" s="1"/>
  <c r="W115" i="11" s="1"/>
  <c r="H113" i="11"/>
  <c r="H115" i="11" s="1"/>
  <c r="T18" i="11"/>
  <c r="W18" i="11"/>
  <c r="K18" i="11"/>
  <c r="K103" i="11" s="1"/>
  <c r="I18" i="11"/>
  <c r="I103" i="11" s="1"/>
  <c r="J18" i="11"/>
  <c r="J103" i="11" s="1"/>
  <c r="L18" i="11"/>
  <c r="L103" i="11" s="1"/>
  <c r="G18" i="11"/>
  <c r="G103" i="11" s="1"/>
  <c r="H18" i="11"/>
  <c r="H103" i="11" s="1"/>
  <c r="M18" i="11"/>
  <c r="M103" i="11" s="1"/>
  <c r="F106" i="11" l="1"/>
  <c r="G112" i="11"/>
  <c r="AC25" i="11"/>
  <c r="T103" i="11"/>
  <c r="W103" i="11"/>
  <c r="V18" i="11"/>
  <c r="V103" i="11" s="1"/>
  <c r="V104" i="11" s="1"/>
  <c r="P18" i="11"/>
  <c r="P103" i="11" s="1"/>
  <c r="S18" i="11"/>
  <c r="U18" i="11"/>
  <c r="R18" i="11"/>
  <c r="Q18" i="11"/>
  <c r="N18" i="11"/>
  <c r="AA18" i="11"/>
  <c r="X18" i="11"/>
  <c r="O18" i="11"/>
  <c r="Y18" i="11"/>
  <c r="Z18" i="11"/>
  <c r="AC18" i="11" l="1"/>
  <c r="G113" i="11"/>
  <c r="AC112" i="11"/>
  <c r="T106" i="11"/>
  <c r="U103" i="11"/>
  <c r="X103" i="11"/>
  <c r="S103" i="11"/>
  <c r="W104" i="11"/>
  <c r="O103" i="11"/>
  <c r="Q103" i="11"/>
  <c r="R103" i="11"/>
  <c r="R106" i="11" s="1"/>
  <c r="Z103" i="11"/>
  <c r="Z106" i="11" s="1"/>
  <c r="AA103" i="11"/>
  <c r="Y103" i="11"/>
  <c r="N103" i="11"/>
  <c r="W106" i="11"/>
  <c r="T104" i="11"/>
  <c r="P104" i="11"/>
  <c r="P106" i="11"/>
  <c r="L104" i="11"/>
  <c r="L106" i="11"/>
  <c r="J104" i="11"/>
  <c r="J106" i="11"/>
  <c r="K104" i="11"/>
  <c r="K106" i="11"/>
  <c r="Q106" i="11"/>
  <c r="V106" i="11"/>
  <c r="G104" i="11"/>
  <c r="G106" i="11"/>
  <c r="I104" i="11"/>
  <c r="I106" i="11"/>
  <c r="M104" i="11"/>
  <c r="M106" i="11"/>
  <c r="H104" i="11"/>
  <c r="H106" i="11"/>
  <c r="AC103" i="11" l="1"/>
  <c r="AC113" i="11"/>
  <c r="G115" i="11"/>
  <c r="AC115" i="11" s="1"/>
  <c r="S106" i="11"/>
  <c r="O106" i="11"/>
  <c r="AA106" i="11"/>
  <c r="Y104" i="11"/>
  <c r="Z104" i="11"/>
  <c r="Q104" i="11"/>
  <c r="Y106" i="11"/>
  <c r="N106" i="11"/>
  <c r="N104" i="11"/>
  <c r="AA104" i="11"/>
  <c r="R104" i="11"/>
  <c r="O104" i="11"/>
  <c r="X104" i="11"/>
  <c r="X106" i="11"/>
  <c r="U106" i="11"/>
  <c r="S104" i="11"/>
  <c r="U104" i="11"/>
  <c r="Q101" i="11"/>
  <c r="U101" i="11"/>
  <c r="Y101" i="11"/>
  <c r="R101" i="11"/>
  <c r="V101" i="11"/>
  <c r="Z101" i="11"/>
  <c r="S101" i="11"/>
  <c r="W101" i="11"/>
  <c r="AA101" i="11"/>
  <c r="T101" i="11"/>
  <c r="X101" i="11"/>
  <c r="AC104" i="11" l="1"/>
  <c r="H101" i="11"/>
  <c r="P101" i="11"/>
  <c r="K101" i="11"/>
  <c r="L101" i="11"/>
  <c r="M101" i="11"/>
  <c r="G101" i="11"/>
  <c r="N101" i="11"/>
  <c r="O101" i="11"/>
  <c r="I101" i="11"/>
  <c r="J101" i="11"/>
  <c r="AC101" i="11" l="1"/>
</calcChain>
</file>

<file path=xl/sharedStrings.xml><?xml version="1.0" encoding="utf-8"?>
<sst xmlns="http://schemas.openxmlformats.org/spreadsheetml/2006/main" count="360" uniqueCount="198">
  <si>
    <t>1.1</t>
  </si>
  <si>
    <t>1.2</t>
  </si>
  <si>
    <t>1.3</t>
  </si>
  <si>
    <t>тонн</t>
  </si>
  <si>
    <t>ед.изм.</t>
  </si>
  <si>
    <t>№ п/п</t>
  </si>
  <si>
    <t>%</t>
  </si>
  <si>
    <t>1.1.2</t>
  </si>
  <si>
    <t>1.1.1</t>
  </si>
  <si>
    <t>1.1.3</t>
  </si>
  <si>
    <t>Наименование статей затрат</t>
  </si>
  <si>
    <t>Период регулирования тарифов на период действия инвестиционной программы, годы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</si>
  <si>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</si>
  <si>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</si>
  <si>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</si>
  <si>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</si>
  <si>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</si>
  <si>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</si>
  <si>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</si>
  <si>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</si>
  <si>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</si>
  <si>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</si>
  <si>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</si>
  <si>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</si>
  <si>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</t>
  </si>
  <si>
    <t>Необходимая валовая выручка</t>
  </si>
  <si>
    <t>тыс. руб.</t>
  </si>
  <si>
    <t>Текущие расходы</t>
  </si>
  <si>
    <t>Операционные расходы</t>
  </si>
  <si>
    <t>1.1.1.1</t>
  </si>
  <si>
    <t>индекс эффективности расходов</t>
  </si>
  <si>
    <t>1.1.1.2</t>
  </si>
  <si>
    <t>индекс потребительских цен</t>
  </si>
  <si>
    <t>Расходы на энергетические ресурсы</t>
  </si>
  <si>
    <t>Неподконтрольные расходы</t>
  </si>
  <si>
    <t>Амортизация</t>
  </si>
  <si>
    <t>Нормативная прибыль</t>
  </si>
  <si>
    <t>1.3.1.</t>
  </si>
  <si>
    <t>Норматив прибыли</t>
  </si>
  <si>
    <t>1.4.</t>
  </si>
  <si>
    <t xml:space="preserve">Расчетная предпринимательская прибыль </t>
  </si>
  <si>
    <t>тыс. куб. м</t>
  </si>
  <si>
    <t>руб./куб. м</t>
  </si>
  <si>
    <t>руб./т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</si>
  <si>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</si>
  <si>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</si>
  <si>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</si>
  <si>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</si>
  <si>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</si>
  <si>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</si>
  <si>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</si>
  <si>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</si>
  <si>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</si>
  <si>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</si>
  <si>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</si>
  <si>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</si>
  <si>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Приложение 1</t>
  </si>
  <si>
    <t>Масса ТКО, принятых на обработку и захоронение</t>
  </si>
  <si>
    <t>Объем ТКО, принятых на обработку и захоронение</t>
  </si>
  <si>
    <t>Предварительный расчет тарифа на захоронение и обработку ТКО.</t>
  </si>
  <si>
    <t>Тариф на захоронение и обработку ТКО</t>
  </si>
  <si>
    <t>Операционные (подконтрольные) расходы, всего</t>
  </si>
  <si>
    <t>тыс.руб.</t>
  </si>
  <si>
    <t xml:space="preserve">Расходы на текущий и капитальный ремонт основных средств объектов, используемых для обработки, обезвреживания, захоронения твердых коммунальных отходов </t>
  </si>
  <si>
    <t>Текущий ремонт и ТО оборудования</t>
  </si>
  <si>
    <t>Текущий ремонт и ТО спецтехники</t>
  </si>
  <si>
    <t>Текущий ремонт зданий и сооружений</t>
  </si>
  <si>
    <t>Капитальный ремонт</t>
  </si>
  <si>
    <t>Расходы на сырье и материалы, в том числе:</t>
  </si>
  <si>
    <t>в т.ч. ГСМ</t>
  </si>
  <si>
    <t>Расходы на оплату труда и отчисления на социальные нужды:</t>
  </si>
  <si>
    <t>Расходы на оплату труда, в том числе:</t>
  </si>
  <si>
    <t>оплата основного производственного персонала</t>
  </si>
  <si>
    <t>численность</t>
  </si>
  <si>
    <t>чел.</t>
  </si>
  <si>
    <t>средний размер заработной платы</t>
  </si>
  <si>
    <t>руб.</t>
  </si>
  <si>
    <t>оплата труда цехового персонала</t>
  </si>
  <si>
    <t>оплата труда ремонтного персонала</t>
  </si>
  <si>
    <t>оплата труда АУП</t>
  </si>
  <si>
    <t>оплата труда директор</t>
  </si>
  <si>
    <t>в том числе НДФЛ (для Бюдж.эфф)</t>
  </si>
  <si>
    <t>корректир</t>
  </si>
  <si>
    <t>Размер социальных отчислений</t>
  </si>
  <si>
    <t>Расходы на оплату иных работ и услуг, выполняемых по договорам с организациями, в том числе:</t>
  </si>
  <si>
    <t>Расходы на оплату услуг связи</t>
  </si>
  <si>
    <t>Расходы на оплату вневедомственной охраны</t>
  </si>
  <si>
    <t>Расходы на оплату юридических, информационных, аудиторских и консультационных услуг</t>
  </si>
  <si>
    <t>Проезд работникам в отпуска</t>
  </si>
  <si>
    <t xml:space="preserve">Прочие расходы </t>
  </si>
  <si>
    <t>Медицинские осмотры</t>
  </si>
  <si>
    <t>Общехозяйственные расходы (закупка канцелярии и хозтоваров)</t>
  </si>
  <si>
    <t>Денежные выплаты социального характера (по Коллективному договору)</t>
  </si>
  <si>
    <t xml:space="preserve">Расходы на служебные командировки </t>
  </si>
  <si>
    <t xml:space="preserve">Расходы на обучение персонала </t>
  </si>
  <si>
    <t xml:space="preserve">Расходы на обязательное страхование производственных объектов в случаях, предусмотренных законодательством РФ, страхование ответственности концессионера, частного партнера, в случаях, предусмотренных соответствующими соглашениями, а также расходов на страхование рисков гибели объектов </t>
  </si>
  <si>
    <t>Обязательное страхование опасных объектов</t>
  </si>
  <si>
    <t>Другие расходы, в том числе:</t>
  </si>
  <si>
    <t>Расходы по охране труда и технике безопасности (ОТ и ТБ)</t>
  </si>
  <si>
    <t>Расходы на содержание офиса и офисного оборудования</t>
  </si>
  <si>
    <t>Прочие расходы условно-постоянные расход, управленческие расходы</t>
  </si>
  <si>
    <t>Обустройство дорог - Полигон</t>
  </si>
  <si>
    <t>Расчет неподконтрольных расходов, всего:</t>
  </si>
  <si>
    <t>Налоги, сборы и другие обязательные платежи</t>
  </si>
  <si>
    <t>Налог на прибыль</t>
  </si>
  <si>
    <t>Налог на имущество организаций</t>
  </si>
  <si>
    <t>Земельный налог</t>
  </si>
  <si>
    <t>Транспортный налог</t>
  </si>
  <si>
    <t>Прочие налоги и сборы, за исключением обязательных платежей с фонда оплаты труда, учитываемых в составе производственных, ремонтных и административных расходов</t>
  </si>
  <si>
    <t>Расходы на арендную плату, концессионную плату и лизинговые платежи</t>
  </si>
  <si>
    <t>Арендная плата (по имуществу, связанному с ТКО)</t>
  </si>
  <si>
    <t xml:space="preserve">Концессионная плата </t>
  </si>
  <si>
    <t xml:space="preserve">Банковская гарантия </t>
  </si>
  <si>
    <t>Прочие расходы (сбытовые расходы)</t>
  </si>
  <si>
    <t>Расходы на плату за негативное воздействие на окружающую среду при размещении твердых коммунальных отходов, размер которой определяется в соответствии с пунктом 55.1 Основ ценообразования.</t>
  </si>
  <si>
    <t>Топливно-энергетические ресурсы</t>
  </si>
  <si>
    <t>Электроэнергия</t>
  </si>
  <si>
    <t>объем</t>
  </si>
  <si>
    <t>тыс. квтч</t>
  </si>
  <si>
    <t>цена</t>
  </si>
  <si>
    <t>руб./квтч</t>
  </si>
  <si>
    <t>Вода на полив отходов</t>
  </si>
  <si>
    <t>тыс. м3</t>
  </si>
  <si>
    <t>руб./м3</t>
  </si>
  <si>
    <t>Вода пиьевая</t>
  </si>
  <si>
    <t>Вооотведение</t>
  </si>
  <si>
    <t>Амортизация основных средств и нематериальных активов</t>
  </si>
  <si>
    <t>База для налога на прибыль (НП без учета %)</t>
  </si>
  <si>
    <t>№</t>
  </si>
  <si>
    <t>Наименование показателя</t>
  </si>
  <si>
    <t>Ед. изм</t>
  </si>
  <si>
    <t xml:space="preserve">Поступает ТКО </t>
  </si>
  <si>
    <t>2.1</t>
  </si>
  <si>
    <t>2.</t>
  </si>
  <si>
    <t>2.2</t>
  </si>
  <si>
    <t>2.2.1</t>
  </si>
  <si>
    <t>2.2.2</t>
  </si>
  <si>
    <t>2.2.3</t>
  </si>
  <si>
    <t>Выручка от основной деятельности</t>
  </si>
  <si>
    <t>Расходы по основной деятельности, всего</t>
  </si>
  <si>
    <t>Привлеченные средства, в том числе:</t>
  </si>
  <si>
    <t>Доходы</t>
  </si>
  <si>
    <t>Бюджетное финансирование</t>
  </si>
  <si>
    <t>1.</t>
  </si>
  <si>
    <t>Расходы</t>
  </si>
  <si>
    <t>МСС</t>
  </si>
  <si>
    <t>полигоны</t>
  </si>
  <si>
    <t>Здания и сооружения</t>
  </si>
  <si>
    <t>Расходы по инвестиционной деятельности</t>
  </si>
  <si>
    <t>2.2.1.1</t>
  </si>
  <si>
    <t>2.2.1.2</t>
  </si>
  <si>
    <t>2.2.1.3</t>
  </si>
  <si>
    <t>2.2.1.4</t>
  </si>
  <si>
    <t>2.2.1.5</t>
  </si>
  <si>
    <t>2.2.1.6</t>
  </si>
  <si>
    <t>2.2.1.7</t>
  </si>
  <si>
    <t>2.2.1.8</t>
  </si>
  <si>
    <t>2.2.2.1</t>
  </si>
  <si>
    <t>2.2.2.2</t>
  </si>
  <si>
    <t>2.2.2.3</t>
  </si>
  <si>
    <t>2.2.3.1</t>
  </si>
  <si>
    <t>2.2.3.2</t>
  </si>
  <si>
    <t>2.2.2.4</t>
  </si>
  <si>
    <t>2.4</t>
  </si>
  <si>
    <t>2.5</t>
  </si>
  <si>
    <t>2.6</t>
  </si>
  <si>
    <t>2.3</t>
  </si>
  <si>
    <t>9.</t>
  </si>
  <si>
    <t>Предварительный финансовый план с учетом реализации мероприятий инвестиционной программы</t>
  </si>
  <si>
    <t>Приложение 2.</t>
  </si>
  <si>
    <t>Рентабельность основной деятельности,%</t>
  </si>
  <si>
    <t>Проверка (тариф)</t>
  </si>
  <si>
    <t>амортизация</t>
  </si>
  <si>
    <t>Возврат</t>
  </si>
  <si>
    <t>займы</t>
  </si>
  <si>
    <t>норм. Прибыль</t>
  </si>
  <si>
    <t>Прибыль (убыток) от основной деятельности</t>
  </si>
  <si>
    <t>Расчетная предпринимательская прибыль (5%)</t>
  </si>
  <si>
    <t>2.7</t>
  </si>
  <si>
    <t>Займ ППК РЭО</t>
  </si>
  <si>
    <t>Акционерные займы, в том числе:</t>
  </si>
  <si>
    <t>Займ на капитальные вложения</t>
  </si>
  <si>
    <t>Займ на приобретение техники</t>
  </si>
  <si>
    <t>Займ на обновление техники</t>
  </si>
  <si>
    <t>Займ на операционные расходы на инвестиционной стадии</t>
  </si>
  <si>
    <t>Итого</t>
  </si>
  <si>
    <t>Спецтехника</t>
  </si>
  <si>
    <t>Возврат займа ППК РЭО на инвестиционной стадии</t>
  </si>
  <si>
    <t>Приход денежных средств на инвестиционную деятельность</t>
  </si>
  <si>
    <t>Расход денежных средств на инвестиционную деятельность</t>
  </si>
  <si>
    <t>Остаток денежных средств по инвестиционной деятельности</t>
  </si>
  <si>
    <t>Приход денежных средств на основную деятельность</t>
  </si>
  <si>
    <t>Расход денежных средств на основную деятельность</t>
  </si>
  <si>
    <t>Остаток денежных средств по основной деятельности</t>
  </si>
  <si>
    <t xml:space="preserve">Итого остаток денежных средств </t>
  </si>
  <si>
    <t>Займ на возврат займа ППК на инвестиционной стадии</t>
  </si>
  <si>
    <t>Возврат займов (за счет амортизации)</t>
  </si>
  <si>
    <t>Возврат займов (за счет нормативной прибыли)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</si>
</sst>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-* #,##0.00\ _₽_-;\-* #,##0.00\ _₽_-;_-* &quot;-&quot;??\ _₽_-;_-@_-"/>
    <numFmt numFmtId="165" formatCode="_(&quot;$&quot;* #,##0.00_);_(&quot;$&quot;* \(#,##0.00\);_(&quot;$&quot;* &quot;-&quot;??_);_(@_)"/>
    <numFmt numFmtId="166" formatCode="_-* #,##0\ _р_._-;\-* #,##0\ _р_._-;_-* &quot;-&quot;\ _р_._-;_-@_-"/>
    <numFmt numFmtId="167" formatCode="_-* #,##0.00\ _р_._-;\-* #,##0.00\ _р_._-;_-* &quot;-&quot;??\ _р_._-;_-@_-"/>
    <numFmt numFmtId="168" formatCode="#,##0.00%;[Red]\(#,##0.00%\);&quot;-&quot;"/>
    <numFmt numFmtId="169" formatCode="0_)"/>
    <numFmt numFmtId="170" formatCode="_-* #,##0.00_р_._-;\-* #,##0.00_р_._-;_-* &quot;-&quot;??_р_._-;_-@_-"/>
    <numFmt numFmtId="171" formatCode="#,##0_ ;[Red]\-#,##0\ "/>
    <numFmt numFmtId="172" formatCode="#,##0;\(#,##0\);\-"/>
    <numFmt numFmtId="173" formatCode="#,##0.00_ ;[Red]\-#,##0.00\ "/>
    <numFmt numFmtId="174" formatCode="#,##0.00_ ;\-#,##0.00\ "/>
    <numFmt numFmtId="175" formatCode="#,##0.00;[Red]\(#,##0.00\);&quot;-&quot;"/>
    <numFmt numFmtId="176" formatCode="#,##0_ ;\-#,##0\ "/>
    <numFmt numFmtId="177" formatCode="#,##0.0_ ;[Red]\-#,##0.0\ "/>
    <numFmt numFmtId="178" formatCode="#,##0.000_ ;[Red]\-#,##0.000\ "/>
  </numFmts>
  <fonts count="8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10"/>
      <name val="Arial Cyr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Courier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24"/>
      <name val="Arial"/>
      <family val="2"/>
      <charset val="204"/>
    </font>
    <font>
      <sz val="10"/>
      <color rgb="FFF04C3E"/>
      <name val="Arial"/>
      <family val="2"/>
    </font>
    <font>
      <sz val="10"/>
      <name val="Arial"/>
      <family val="2"/>
    </font>
    <font>
      <b/>
      <sz val="12"/>
      <name val="NTHelvetica/Cyrillic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0"/>
      <color rgb="FF3333FF"/>
      <name val="Arial"/>
      <family val="2"/>
    </font>
    <font>
      <sz val="11"/>
      <color theme="1"/>
      <name val="Arial"/>
      <family val="2"/>
    </font>
    <font>
      <sz val="10"/>
      <color theme="1"/>
      <name val="Arial Cyr"/>
    </font>
    <font>
      <sz val="10"/>
      <color theme="1"/>
      <name val="Calibri"/>
      <family val="2"/>
      <charset val="204"/>
    </font>
    <font>
      <sz val="10"/>
      <name val="Helv"/>
    </font>
    <font>
      <sz val="10"/>
      <color rgb="FF000000"/>
      <name val="Arial"/>
      <family val="2"/>
      <charset val="204"/>
    </font>
    <font>
      <sz val="11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u/>
      <sz val="10"/>
      <color rgb="FF0000EE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b/>
      <i/>
      <u/>
      <sz val="10"/>
      <color rgb="FF000000"/>
      <name val="Liberation Sans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 tint="-4.9989318521683403E-2"/>
      <name val="Times New Roman"/>
      <family val="1"/>
      <charset val="204"/>
    </font>
    <font>
      <i/>
      <sz val="12"/>
      <color theme="0" tint="-4.9989318521683403E-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4.9989318521683403E-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lightGray">
        <fgColor indexed="8"/>
        <bgColor indexed="11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5">
    <xf numFmtId="0" fontId="0" fillId="0" borderId="0"/>
    <xf numFmtId="0" fontId="2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3" applyNumberFormat="0" applyAlignment="0" applyProtection="0"/>
    <xf numFmtId="0" fontId="8" fillId="20" borderId="4" applyNumberFormat="0" applyAlignment="0" applyProtection="0"/>
    <xf numFmtId="0" fontId="9" fillId="20" borderId="3" applyNumberFormat="0" applyAlignment="0" applyProtection="0"/>
    <xf numFmtId="165" fontId="4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21" borderId="9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/>
    <xf numFmtId="0" fontId="1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3" borderId="10" applyNumberFormat="0" applyAlignment="0" applyProtection="0"/>
    <xf numFmtId="9" fontId="2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5" fillId="4" borderId="0" applyNumberFormat="0" applyBorder="0" applyAlignment="0" applyProtection="0"/>
    <xf numFmtId="9" fontId="4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168" fontId="31" fillId="0" borderId="25" applyProtection="0"/>
    <xf numFmtId="169" fontId="32" fillId="0" borderId="0"/>
    <xf numFmtId="9" fontId="2" fillId="0" borderId="0" applyFont="0" applyFill="0" applyBorder="0" applyAlignment="0" applyProtection="0"/>
    <xf numFmtId="0" fontId="29" fillId="0" borderId="0"/>
    <xf numFmtId="0" fontId="30" fillId="0" borderId="0"/>
    <xf numFmtId="9" fontId="29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" fillId="0" borderId="0"/>
    <xf numFmtId="0" fontId="29" fillId="0" borderId="0"/>
    <xf numFmtId="0" fontId="4" fillId="0" borderId="0"/>
    <xf numFmtId="170" fontId="34" fillId="0" borderId="0" applyFont="0" applyFill="0" applyBorder="0" applyAlignment="0" applyProtection="0"/>
    <xf numFmtId="170" fontId="4" fillId="0" borderId="0" applyFill="0" applyBorder="0" applyAlignment="0" applyProtection="0"/>
    <xf numFmtId="0" fontId="33" fillId="0" borderId="0"/>
    <xf numFmtId="43" fontId="30" fillId="0" borderId="0" applyFont="0" applyFill="0" applyBorder="0" applyAlignment="0" applyProtection="0"/>
    <xf numFmtId="0" fontId="2" fillId="0" borderId="0" applyFill="0" applyProtection="0"/>
    <xf numFmtId="170" fontId="2" fillId="0" borderId="0" applyFont="0" applyFill="0" applyBorder="0" applyAlignment="0" applyProtection="0"/>
    <xf numFmtId="0" fontId="2" fillId="0" borderId="0"/>
    <xf numFmtId="0" fontId="26" fillId="0" borderId="0">
      <alignment horizontal="center"/>
    </xf>
    <xf numFmtId="0" fontId="26" fillId="0" borderId="2">
      <alignment horizontal="center" wrapText="1"/>
    </xf>
    <xf numFmtId="0" fontId="26" fillId="0" borderId="0">
      <alignment horizontal="right" vertical="top" wrapText="1"/>
    </xf>
    <xf numFmtId="0" fontId="30" fillId="0" borderId="0"/>
    <xf numFmtId="0" fontId="35" fillId="0" borderId="0" applyNumberFormat="0" applyFill="0" applyBorder="0" applyAlignment="0" applyProtection="0"/>
    <xf numFmtId="0" fontId="29" fillId="0" borderId="0"/>
    <xf numFmtId="0" fontId="4" fillId="0" borderId="0"/>
    <xf numFmtId="164" fontId="30" fillId="0" borderId="0" applyFont="0" applyFill="0" applyBorder="0" applyAlignment="0" applyProtection="0"/>
    <xf numFmtId="0" fontId="36" fillId="26" borderId="26" applyNumberFormat="0" applyProtection="0">
      <alignment horizontal="left"/>
    </xf>
    <xf numFmtId="0" fontId="37" fillId="0" borderId="0" applyFont="0" applyFill="0" applyBorder="0" applyAlignment="0" applyProtection="0"/>
    <xf numFmtId="0" fontId="38" fillId="0" borderId="0" applyNumberFormat="0" applyFill="0" applyBorder="0" applyAlignment="0"/>
    <xf numFmtId="0" fontId="40" fillId="27" borderId="0">
      <alignment horizontal="center"/>
    </xf>
    <xf numFmtId="0" fontId="41" fillId="0" borderId="0" applyBorder="0"/>
    <xf numFmtId="2" fontId="42" fillId="0" borderId="0"/>
    <xf numFmtId="0" fontId="43" fillId="25" borderId="27" applyNumberFormat="0" applyAlignment="0"/>
    <xf numFmtId="0" fontId="39" fillId="0" borderId="0"/>
    <xf numFmtId="172" fontId="44" fillId="0" borderId="0" applyNumberFormat="0" applyAlignment="0"/>
    <xf numFmtId="0" fontId="45" fillId="0" borderId="28" applyNumberFormat="0" applyFont="0" applyFill="0" applyAlignment="0"/>
    <xf numFmtId="0" fontId="19" fillId="0" borderId="0" applyFill="0"/>
    <xf numFmtId="0" fontId="26" fillId="0" borderId="0">
      <alignment horizontal="center"/>
    </xf>
    <xf numFmtId="0" fontId="46" fillId="0" borderId="0"/>
    <xf numFmtId="0" fontId="19" fillId="0" borderId="0"/>
    <xf numFmtId="0" fontId="26" fillId="0" borderId="2">
      <alignment horizontal="center" wrapText="1"/>
    </xf>
    <xf numFmtId="0" fontId="26" fillId="0" borderId="0">
      <alignment horizontal="right" vertical="top" wrapText="1"/>
    </xf>
    <xf numFmtId="0" fontId="26" fillId="0" borderId="0">
      <alignment horizontal="left"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7" fillId="0" borderId="0"/>
    <xf numFmtId="0" fontId="30" fillId="0" borderId="0"/>
    <xf numFmtId="0" fontId="29" fillId="0" borderId="0"/>
    <xf numFmtId="0" fontId="4" fillId="0" borderId="0"/>
    <xf numFmtId="0" fontId="4" fillId="0" borderId="0"/>
    <xf numFmtId="9" fontId="30" fillId="0" borderId="0" applyFont="0" applyFill="0" applyBorder="0" applyAlignment="0" applyProtection="0"/>
    <xf numFmtId="9" fontId="4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8" fillId="0" borderId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6" fillId="0" borderId="0">
      <alignment horizontal="right" vertical="top" wrapText="1"/>
    </xf>
    <xf numFmtId="0" fontId="26" fillId="0" borderId="2">
      <alignment horizontal="center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6" fillId="0" borderId="0">
      <alignment horizontal="center"/>
    </xf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>
      <alignment horizontal="left" vertical="top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9" fillId="0" borderId="0"/>
    <xf numFmtId="0" fontId="51" fillId="0" borderId="0" applyNumberFormat="0" applyFill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1" fillId="30" borderId="0" applyNumberFormat="0" applyBorder="0" applyAlignment="0" applyProtection="0"/>
    <xf numFmtId="0" fontId="53" fillId="31" borderId="0" applyNumberFormat="0" applyBorder="0" applyAlignment="0" applyProtection="0"/>
    <xf numFmtId="0" fontId="54" fillId="32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33" borderId="0" applyNumberFormat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4" borderId="0" applyNumberFormat="0" applyBorder="0" applyAlignment="0" applyProtection="0"/>
    <xf numFmtId="0" fontId="62" fillId="34" borderId="29" applyNumberFormat="0" applyAlignment="0" applyProtection="0"/>
    <xf numFmtId="0" fontId="6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5" fontId="31" fillId="0" borderId="25" applyProtection="0"/>
  </cellStyleXfs>
  <cellXfs count="25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/>
    </xf>
    <xf numFmtId="0" fontId="27" fillId="0" borderId="17" xfId="0" applyFont="1" applyFill="1" applyBorder="1" applyAlignment="1">
      <alignment vertical="center" wrapText="1"/>
    </xf>
    <xf numFmtId="0" fontId="27" fillId="0" borderId="18" xfId="0" applyFont="1" applyBorder="1" applyAlignment="1">
      <alignment horizontal="center" vertical="center" wrapText="1"/>
    </xf>
    <xf numFmtId="49" fontId="28" fillId="0" borderId="19" xfId="0" applyNumberFormat="1" applyFont="1" applyBorder="1" applyAlignment="1">
      <alignment horizontal="center" vertical="center"/>
    </xf>
    <xf numFmtId="0" fontId="28" fillId="0" borderId="20" xfId="0" applyFont="1" applyFill="1" applyBorder="1" applyAlignment="1">
      <alignment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left" vertical="center" wrapText="1"/>
    </xf>
    <xf numFmtId="0" fontId="28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Fill="1" applyBorder="1" applyAlignment="1">
      <alignment horizontal="left" vertical="center" wrapText="1"/>
    </xf>
    <xf numFmtId="0" fontId="27" fillId="0" borderId="21" xfId="0" applyFont="1" applyBorder="1" applyAlignment="1">
      <alignment horizontal="center" vertical="center" wrapText="1"/>
    </xf>
    <xf numFmtId="4" fontId="27" fillId="0" borderId="22" xfId="0" applyNumberFormat="1" applyFont="1" applyFill="1" applyBorder="1" applyAlignment="1">
      <alignment horizontal="center" vertical="center"/>
    </xf>
    <xf numFmtId="4" fontId="28" fillId="0" borderId="23" xfId="0" applyNumberFormat="1" applyFont="1" applyFill="1" applyBorder="1" applyAlignment="1">
      <alignment horizontal="center" vertical="center"/>
    </xf>
    <xf numFmtId="10" fontId="28" fillId="0" borderId="23" xfId="0" applyNumberFormat="1" applyFont="1" applyFill="1" applyBorder="1" applyAlignment="1">
      <alignment horizontal="center" vertical="center"/>
    </xf>
    <xf numFmtId="10" fontId="28" fillId="24" borderId="23" xfId="45" applyNumberFormat="1" applyFont="1" applyFill="1" applyBorder="1" applyAlignment="1">
      <alignment horizontal="center" vertical="center"/>
    </xf>
    <xf numFmtId="3" fontId="27" fillId="0" borderId="23" xfId="0" applyNumberFormat="1" applyFont="1" applyFill="1" applyBorder="1" applyAlignment="1">
      <alignment horizontal="center" vertical="center"/>
    </xf>
    <xf numFmtId="4" fontId="27" fillId="0" borderId="23" xfId="0" applyNumberFormat="1" applyFont="1" applyFill="1" applyBorder="1" applyAlignment="1">
      <alignment horizontal="center" vertical="center"/>
    </xf>
    <xf numFmtId="4" fontId="28" fillId="24" borderId="23" xfId="0" applyNumberFormat="1" applyFont="1" applyFill="1" applyBorder="1" applyAlignment="1">
      <alignment horizontal="center" vertical="center"/>
    </xf>
    <xf numFmtId="4" fontId="0" fillId="0" borderId="0" xfId="0" applyNumberFormat="1"/>
    <xf numFmtId="171" fontId="0" fillId="0" borderId="0" xfId="0" applyNumberFormat="1"/>
    <xf numFmtId="10" fontId="28" fillId="24" borderId="2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28" fillId="24" borderId="20" xfId="45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/>
    </xf>
    <xf numFmtId="10" fontId="28" fillId="0" borderId="20" xfId="0" applyNumberFormat="1" applyFont="1" applyFill="1" applyBorder="1" applyAlignment="1">
      <alignment horizontal="center" vertical="center"/>
    </xf>
    <xf numFmtId="174" fontId="0" fillId="0" borderId="0" xfId="0" applyNumberFormat="1"/>
    <xf numFmtId="4" fontId="27" fillId="0" borderId="31" xfId="0" applyNumberFormat="1" applyFont="1" applyFill="1" applyBorder="1" applyAlignment="1">
      <alignment horizontal="center" vertical="center"/>
    </xf>
    <xf numFmtId="4" fontId="28" fillId="24" borderId="20" xfId="0" applyNumberFormat="1" applyFont="1" applyFill="1" applyBorder="1" applyAlignment="1">
      <alignment horizontal="center" vertical="center"/>
    </xf>
    <xf numFmtId="173" fontId="64" fillId="0" borderId="0" xfId="0" applyNumberFormat="1" applyFont="1"/>
    <xf numFmtId="3" fontId="27" fillId="24" borderId="23" xfId="0" applyNumberFormat="1" applyFont="1" applyFill="1" applyBorder="1" applyAlignment="1">
      <alignment horizontal="center" vertical="center"/>
    </xf>
    <xf numFmtId="4" fontId="27" fillId="0" borderId="30" xfId="0" applyNumberFormat="1" applyFont="1" applyFill="1" applyBorder="1" applyAlignment="1">
      <alignment horizontal="center" vertical="center"/>
    </xf>
    <xf numFmtId="4" fontId="27" fillId="0" borderId="20" xfId="0" applyNumberFormat="1" applyFont="1" applyFill="1" applyBorder="1" applyAlignment="1">
      <alignment horizontal="center" vertical="center"/>
    </xf>
    <xf numFmtId="173" fontId="0" fillId="0" borderId="0" xfId="0" applyNumberFormat="1"/>
    <xf numFmtId="4" fontId="28" fillId="0" borderId="20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left" vertical="center" wrapText="1"/>
    </xf>
    <xf numFmtId="0" fontId="67" fillId="0" borderId="2" xfId="70" applyFont="1" applyBorder="1" applyAlignment="1">
      <alignment horizontal="center" vertical="center"/>
    </xf>
    <xf numFmtId="0" fontId="65" fillId="0" borderId="2" xfId="70" applyFont="1" applyBorder="1" applyAlignment="1">
      <alignment horizontal="center" vertical="center"/>
    </xf>
    <xf numFmtId="0" fontId="65" fillId="0" borderId="33" xfId="70" applyFont="1" applyBorder="1" applyAlignment="1">
      <alignment horizontal="center" vertical="center"/>
    </xf>
    <xf numFmtId="171" fontId="65" fillId="35" borderId="2" xfId="194" applyNumberFormat="1" applyFont="1" applyFill="1" applyBorder="1" applyAlignment="1">
      <alignment horizontal="center" vertical="center"/>
    </xf>
    <xf numFmtId="171" fontId="65" fillId="35" borderId="2" xfId="194" applyNumberFormat="1" applyFont="1" applyFill="1" applyBorder="1" applyAlignment="1">
      <alignment horizontal="right" vertical="center"/>
    </xf>
    <xf numFmtId="0" fontId="0" fillId="0" borderId="2" xfId="0" applyBorder="1"/>
    <xf numFmtId="171" fontId="3" fillId="25" borderId="2" xfId="194" applyNumberFormat="1" applyFont="1" applyFill="1" applyBorder="1" applyAlignment="1">
      <alignment horizontal="center"/>
    </xf>
    <xf numFmtId="171" fontId="67" fillId="0" borderId="2" xfId="194" applyNumberFormat="1" applyFont="1" applyBorder="1"/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171" fontId="67" fillId="24" borderId="2" xfId="194" applyNumberFormat="1" applyFont="1" applyFill="1" applyBorder="1" applyAlignment="1">
      <alignment horizontal="center" vertical="center"/>
    </xf>
    <xf numFmtId="0" fontId="65" fillId="37" borderId="2" xfId="70" applyFont="1" applyFill="1" applyBorder="1" applyAlignment="1">
      <alignment horizontal="center" vertical="center"/>
    </xf>
    <xf numFmtId="171" fontId="65" fillId="37" borderId="2" xfId="194" applyNumberFormat="1" applyFont="1" applyFill="1" applyBorder="1" applyAlignment="1">
      <alignment horizontal="center" vertical="center"/>
    </xf>
    <xf numFmtId="171" fontId="65" fillId="0" borderId="2" xfId="194" applyNumberFormat="1" applyFont="1" applyBorder="1" applyAlignment="1">
      <alignment horizontal="center"/>
    </xf>
    <xf numFmtId="10" fontId="66" fillId="24" borderId="2" xfId="119" applyNumberFormat="1" applyFont="1" applyFill="1" applyBorder="1"/>
    <xf numFmtId="171" fontId="66" fillId="0" borderId="2" xfId="194" applyNumberFormat="1" applyFont="1" applyBorder="1" applyAlignment="1">
      <alignment horizontal="center"/>
    </xf>
    <xf numFmtId="49" fontId="65" fillId="0" borderId="2" xfId="194" applyNumberFormat="1" applyFont="1" applyBorder="1" applyAlignment="1">
      <alignment horizontal="center"/>
    </xf>
    <xf numFmtId="171" fontId="67" fillId="0" borderId="2" xfId="194" applyNumberFormat="1" applyFont="1" applyBorder="1" applyAlignment="1">
      <alignment horizontal="center"/>
    </xf>
    <xf numFmtId="171" fontId="66" fillId="25" borderId="2" xfId="194" applyNumberFormat="1" applyFont="1" applyFill="1" applyBorder="1" applyAlignment="1">
      <alignment horizontal="center"/>
    </xf>
    <xf numFmtId="171" fontId="68" fillId="0" borderId="2" xfId="194" applyNumberFormat="1" applyFont="1" applyBorder="1" applyAlignment="1">
      <alignment horizontal="center"/>
    </xf>
    <xf numFmtId="171" fontId="69" fillId="0" borderId="2" xfId="194" applyNumberFormat="1" applyFont="1" applyBorder="1" applyAlignment="1">
      <alignment horizontal="center"/>
    </xf>
    <xf numFmtId="171" fontId="70" fillId="0" borderId="2" xfId="194" applyNumberFormat="1" applyFont="1" applyBorder="1" applyAlignment="1">
      <alignment horizontal="center"/>
    </xf>
    <xf numFmtId="171" fontId="3" fillId="0" borderId="2" xfId="194" applyNumberFormat="1" applyFont="1" applyBorder="1" applyAlignment="1">
      <alignment horizontal="center"/>
    </xf>
    <xf numFmtId="49" fontId="67" fillId="0" borderId="2" xfId="194" applyNumberFormat="1" applyFont="1" applyBorder="1" applyAlignment="1">
      <alignment horizontal="center" vertical="center"/>
    </xf>
    <xf numFmtId="49" fontId="67" fillId="0" borderId="2" xfId="194" applyNumberFormat="1" applyFont="1" applyBorder="1" applyAlignment="1">
      <alignment horizontal="center"/>
    </xf>
    <xf numFmtId="49" fontId="67" fillId="0" borderId="39" xfId="194" applyNumberFormat="1" applyFont="1" applyBorder="1" applyAlignment="1">
      <alignment horizontal="center"/>
    </xf>
    <xf numFmtId="49" fontId="65" fillId="35" borderId="0" xfId="70" applyNumberFormat="1" applyFont="1" applyFill="1" applyBorder="1" applyAlignment="1">
      <alignment horizontal="center" vertical="center"/>
    </xf>
    <xf numFmtId="49" fontId="65" fillId="35" borderId="39" xfId="194" applyNumberFormat="1" applyFont="1" applyFill="1" applyBorder="1" applyAlignment="1">
      <alignment horizontal="center"/>
    </xf>
    <xf numFmtId="171" fontId="67" fillId="35" borderId="36" xfId="194" applyNumberFormat="1" applyFont="1" applyFill="1" applyBorder="1" applyAlignment="1">
      <alignment horizontal="center"/>
    </xf>
    <xf numFmtId="171" fontId="65" fillId="25" borderId="2" xfId="194" applyNumberFormat="1" applyFont="1" applyFill="1" applyBorder="1" applyAlignment="1">
      <alignment horizontal="center" vertical="center"/>
    </xf>
    <xf numFmtId="49" fontId="67" fillId="35" borderId="2" xfId="70" applyNumberFormat="1" applyFont="1" applyFill="1" applyBorder="1" applyAlignment="1">
      <alignment horizontal="center" vertical="center"/>
    </xf>
    <xf numFmtId="0" fontId="0" fillId="24" borderId="0" xfId="0" applyFill="1"/>
    <xf numFmtId="171" fontId="67" fillId="35" borderId="2" xfId="194" applyNumberFormat="1" applyFont="1" applyFill="1" applyBorder="1" applyAlignment="1">
      <alignment horizontal="center" vertical="center"/>
    </xf>
    <xf numFmtId="0" fontId="71" fillId="0" borderId="2" xfId="0" applyFont="1" applyBorder="1"/>
    <xf numFmtId="4" fontId="71" fillId="0" borderId="0" xfId="0" applyNumberFormat="1" applyFont="1"/>
    <xf numFmtId="173" fontId="71" fillId="0" borderId="2" xfId="194" applyNumberFormat="1" applyFont="1" applyBorder="1"/>
    <xf numFmtId="171" fontId="72" fillId="35" borderId="2" xfId="194" applyNumberFormat="1" applyFont="1" applyFill="1" applyBorder="1" applyAlignment="1">
      <alignment horizontal="center" vertical="center"/>
    </xf>
    <xf numFmtId="171" fontId="71" fillId="0" borderId="2" xfId="194" applyNumberFormat="1" applyFont="1" applyBorder="1"/>
    <xf numFmtId="171" fontId="71" fillId="24" borderId="2" xfId="194" applyNumberFormat="1" applyFont="1" applyFill="1" applyBorder="1" applyAlignment="1">
      <alignment horizontal="center" vertical="center"/>
    </xf>
    <xf numFmtId="171" fontId="72" fillId="0" borderId="2" xfId="194" applyNumberFormat="1" applyFont="1" applyBorder="1" applyAlignment="1">
      <alignment horizontal="center"/>
    </xf>
    <xf numFmtId="171" fontId="72" fillId="0" borderId="2" xfId="194" applyNumberFormat="1" applyFont="1" applyBorder="1"/>
    <xf numFmtId="171" fontId="73" fillId="0" borderId="2" xfId="194" applyNumberFormat="1" applyFont="1" applyBorder="1" applyAlignment="1">
      <alignment horizontal="center"/>
    </xf>
    <xf numFmtId="171" fontId="73" fillId="0" borderId="2" xfId="194" applyNumberFormat="1" applyFont="1" applyBorder="1"/>
    <xf numFmtId="171" fontId="72" fillId="0" borderId="39" xfId="194" applyNumberFormat="1" applyFont="1" applyBorder="1" applyAlignment="1">
      <alignment horizontal="center"/>
    </xf>
    <xf numFmtId="171" fontId="73" fillId="25" borderId="2" xfId="194" applyNumberFormat="1" applyFont="1" applyFill="1" applyBorder="1"/>
    <xf numFmtId="2" fontId="71" fillId="0" borderId="2" xfId="0" applyNumberFormat="1" applyFont="1" applyBorder="1"/>
    <xf numFmtId="0" fontId="71" fillId="35" borderId="2" xfId="0" applyFont="1" applyFill="1" applyBorder="1"/>
    <xf numFmtId="173" fontId="71" fillId="35" borderId="2" xfId="0" applyNumberFormat="1" applyFont="1" applyFill="1" applyBorder="1"/>
    <xf numFmtId="0" fontId="0" fillId="35" borderId="2" xfId="0" applyFill="1" applyBorder="1"/>
    <xf numFmtId="173" fontId="72" fillId="35" borderId="2" xfId="70" applyNumberFormat="1" applyFont="1" applyFill="1" applyBorder="1" applyAlignment="1">
      <alignment horizontal="right" vertical="center"/>
    </xf>
    <xf numFmtId="173" fontId="72" fillId="37" borderId="2" xfId="0" applyNumberFormat="1" applyFont="1" applyFill="1" applyBorder="1"/>
    <xf numFmtId="173" fontId="72" fillId="35" borderId="40" xfId="194" applyNumberFormat="1" applyFont="1" applyFill="1" applyBorder="1"/>
    <xf numFmtId="173" fontId="71" fillId="24" borderId="2" xfId="194" applyNumberFormat="1" applyFont="1" applyFill="1" applyBorder="1" applyAlignment="1">
      <alignment horizontal="center" vertical="center"/>
    </xf>
    <xf numFmtId="171" fontId="72" fillId="0" borderId="33" xfId="194" applyNumberFormat="1" applyFont="1" applyBorder="1"/>
    <xf numFmtId="171" fontId="73" fillId="0" borderId="33" xfId="194" applyNumberFormat="1" applyFont="1" applyBorder="1"/>
    <xf numFmtId="171" fontId="72" fillId="35" borderId="2" xfId="194" applyNumberFormat="1" applyFont="1" applyFill="1" applyBorder="1" applyAlignment="1">
      <alignment horizontal="right" vertical="center"/>
    </xf>
    <xf numFmtId="171" fontId="72" fillId="35" borderId="33" xfId="194" applyNumberFormat="1" applyFont="1" applyFill="1" applyBorder="1" applyAlignment="1">
      <alignment horizontal="right" vertical="center"/>
    </xf>
    <xf numFmtId="49" fontId="65" fillId="25" borderId="2" xfId="194" applyNumberFormat="1" applyFont="1" applyFill="1" applyBorder="1" applyAlignment="1">
      <alignment horizontal="center" vertical="center"/>
    </xf>
    <xf numFmtId="49" fontId="66" fillId="0" borderId="37" xfId="194" applyNumberFormat="1" applyFont="1" applyBorder="1" applyAlignment="1">
      <alignment horizontal="center"/>
    </xf>
    <xf numFmtId="49" fontId="65" fillId="35" borderId="2" xfId="194" applyNumberFormat="1" applyFont="1" applyFill="1" applyBorder="1" applyAlignment="1">
      <alignment horizontal="center"/>
    </xf>
    <xf numFmtId="49" fontId="65" fillId="35" borderId="2" xfId="70" applyNumberFormat="1" applyFont="1" applyFill="1" applyBorder="1" applyAlignment="1">
      <alignment horizontal="center" vertical="center"/>
    </xf>
    <xf numFmtId="173" fontId="72" fillId="37" borderId="2" xfId="194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3" fontId="72" fillId="35" borderId="2" xfId="194" applyNumberFormat="1" applyFont="1" applyFill="1" applyBorder="1" applyAlignment="1">
      <alignment horizontal="right" vertical="center"/>
    </xf>
    <xf numFmtId="49" fontId="67" fillId="35" borderId="2" xfId="194" applyNumberFormat="1" applyFont="1" applyFill="1" applyBorder="1" applyAlignment="1">
      <alignment horizontal="center"/>
    </xf>
    <xf numFmtId="0" fontId="0" fillId="0" borderId="0" xfId="0" applyFont="1"/>
    <xf numFmtId="171" fontId="67" fillId="37" borderId="2" xfId="194" applyNumberFormat="1" applyFont="1" applyFill="1" applyBorder="1" applyAlignment="1">
      <alignment horizontal="center"/>
    </xf>
    <xf numFmtId="49" fontId="65" fillId="24" borderId="2" xfId="194" applyNumberFormat="1" applyFont="1" applyFill="1" applyBorder="1" applyAlignment="1">
      <alignment horizontal="center"/>
    </xf>
    <xf numFmtId="0" fontId="29" fillId="0" borderId="2" xfId="0" applyFont="1" applyBorder="1"/>
    <xf numFmtId="176" fontId="74" fillId="0" borderId="2" xfId="194" applyNumberFormat="1" applyFont="1" applyBorder="1"/>
    <xf numFmtId="171" fontId="75" fillId="0" borderId="2" xfId="194" applyNumberFormat="1" applyFont="1" applyBorder="1"/>
    <xf numFmtId="176" fontId="72" fillId="0" borderId="2" xfId="194" applyNumberFormat="1" applyFont="1" applyBorder="1"/>
    <xf numFmtId="176" fontId="72" fillId="0" borderId="33" xfId="194" applyNumberFormat="1" applyFont="1" applyBorder="1"/>
    <xf numFmtId="176" fontId="73" fillId="0" borderId="2" xfId="194" applyNumberFormat="1" applyFont="1" applyBorder="1"/>
    <xf numFmtId="176" fontId="73" fillId="0" borderId="33" xfId="194" applyNumberFormat="1" applyFont="1" applyBorder="1"/>
    <xf numFmtId="176" fontId="71" fillId="0" borderId="2" xfId="194" applyNumberFormat="1" applyFont="1" applyBorder="1"/>
    <xf numFmtId="171" fontId="72" fillId="25" borderId="2" xfId="194" applyNumberFormat="1" applyFont="1" applyFill="1" applyBorder="1" applyAlignment="1">
      <alignment vertical="center"/>
    </xf>
    <xf numFmtId="171" fontId="28" fillId="25" borderId="2" xfId="194" applyNumberFormat="1" applyFont="1" applyFill="1" applyBorder="1"/>
    <xf numFmtId="171" fontId="28" fillId="25" borderId="33" xfId="194" applyNumberFormat="1" applyFont="1" applyFill="1" applyBorder="1"/>
    <xf numFmtId="177" fontId="73" fillId="25" borderId="2" xfId="194" applyNumberFormat="1" applyFont="1" applyFill="1" applyBorder="1"/>
    <xf numFmtId="177" fontId="73" fillId="25" borderId="33" xfId="194" applyNumberFormat="1" applyFont="1" applyFill="1" applyBorder="1"/>
    <xf numFmtId="177" fontId="28" fillId="25" borderId="2" xfId="194" applyNumberFormat="1" applyFont="1" applyFill="1" applyBorder="1"/>
    <xf numFmtId="177" fontId="28" fillId="25" borderId="33" xfId="194" applyNumberFormat="1" applyFont="1" applyFill="1" applyBorder="1"/>
    <xf numFmtId="176" fontId="73" fillId="0" borderId="39" xfId="0" applyNumberFormat="1" applyFont="1" applyBorder="1"/>
    <xf numFmtId="176" fontId="71" fillId="35" borderId="2" xfId="0" applyNumberFormat="1" applyFont="1" applyFill="1" applyBorder="1"/>
    <xf numFmtId="0" fontId="0" fillId="0" borderId="0" xfId="0" applyAlignment="1">
      <alignment horizontal="center"/>
    </xf>
    <xf numFmtId="0" fontId="72" fillId="0" borderId="2" xfId="70" applyFont="1" applyBorder="1" applyAlignment="1">
      <alignment horizontal="center" vertical="center"/>
    </xf>
    <xf numFmtId="0" fontId="72" fillId="37" borderId="2" xfId="70" applyFont="1" applyFill="1" applyBorder="1" applyAlignment="1">
      <alignment horizontal="left" vertical="center"/>
    </xf>
    <xf numFmtId="171" fontId="71" fillId="35" borderId="2" xfId="194" applyNumberFormat="1" applyFont="1" applyFill="1" applyBorder="1" applyAlignment="1">
      <alignment wrapText="1"/>
    </xf>
    <xf numFmtId="171" fontId="71" fillId="0" borderId="2" xfId="194" applyNumberFormat="1" applyFont="1" applyBorder="1" applyAlignment="1">
      <alignment wrapText="1"/>
    </xf>
    <xf numFmtId="171" fontId="71" fillId="0" borderId="2" xfId="194" applyNumberFormat="1" applyFont="1" applyFill="1" applyBorder="1" applyAlignment="1">
      <alignment wrapText="1"/>
    </xf>
    <xf numFmtId="173" fontId="71" fillId="0" borderId="32" xfId="194" applyNumberFormat="1" applyFont="1" applyBorder="1" applyAlignment="1">
      <alignment horizontal="right" wrapText="1"/>
    </xf>
    <xf numFmtId="171" fontId="72" fillId="35" borderId="33" xfId="194" applyNumberFormat="1" applyFont="1" applyFill="1" applyBorder="1"/>
    <xf numFmtId="171" fontId="72" fillId="35" borderId="38" xfId="194" applyNumberFormat="1" applyFont="1" applyFill="1" applyBorder="1" applyAlignment="1">
      <alignment horizontal="left" vertical="center"/>
    </xf>
    <xf numFmtId="171" fontId="72" fillId="0" borderId="2" xfId="194" applyNumberFormat="1" applyFont="1" applyBorder="1" applyAlignment="1">
      <alignment wrapText="1"/>
    </xf>
    <xf numFmtId="171" fontId="73" fillId="0" borderId="2" xfId="194" applyNumberFormat="1" applyFont="1" applyBorder="1" applyAlignment="1">
      <alignment horizontal="left"/>
    </xf>
    <xf numFmtId="171" fontId="71" fillId="0" borderId="2" xfId="194" applyNumberFormat="1" applyFont="1" applyBorder="1" applyAlignment="1">
      <alignment horizontal="left"/>
    </xf>
    <xf numFmtId="171" fontId="73" fillId="25" borderId="2" xfId="194" applyNumberFormat="1" applyFont="1" applyFill="1" applyBorder="1" applyAlignment="1">
      <alignment horizontal="left"/>
    </xf>
    <xf numFmtId="171" fontId="71" fillId="0" borderId="2" xfId="194" applyNumberFormat="1" applyFont="1" applyBorder="1" applyAlignment="1">
      <alignment horizontal="right"/>
    </xf>
    <xf numFmtId="171" fontId="76" fillId="0" borderId="2" xfId="194" applyNumberFormat="1" applyFont="1" applyBorder="1" applyAlignment="1">
      <alignment horizontal="right"/>
    </xf>
    <xf numFmtId="171" fontId="75" fillId="0" borderId="2" xfId="194" applyNumberFormat="1" applyFont="1" applyBorder="1" applyAlignment="1">
      <alignment horizontal="left"/>
    </xf>
    <xf numFmtId="171" fontId="75" fillId="0" borderId="2" xfId="194" applyNumberFormat="1" applyFont="1" applyBorder="1" applyAlignment="1">
      <alignment horizontal="left" vertical="top" wrapText="1"/>
    </xf>
    <xf numFmtId="171" fontId="73" fillId="0" borderId="2" xfId="194" applyNumberFormat="1" applyFont="1" applyBorder="1" applyAlignment="1">
      <alignment horizontal="left" wrapText="1"/>
    </xf>
    <xf numFmtId="171" fontId="75" fillId="0" borderId="2" xfId="194" applyNumberFormat="1" applyFont="1" applyBorder="1" applyAlignment="1">
      <alignment horizontal="left" wrapText="1"/>
    </xf>
    <xf numFmtId="171" fontId="72" fillId="35" borderId="35" xfId="194" applyNumberFormat="1" applyFont="1" applyFill="1" applyBorder="1" applyAlignment="1">
      <alignment wrapText="1"/>
    </xf>
    <xf numFmtId="171" fontId="73" fillId="0" borderId="2" xfId="194" applyNumberFormat="1" applyFont="1" applyBorder="1" applyAlignment="1">
      <alignment horizontal="left" vertical="top" wrapText="1"/>
    </xf>
    <xf numFmtId="171" fontId="73" fillId="0" borderId="2" xfId="194" applyNumberFormat="1" applyFont="1" applyBorder="1" applyAlignment="1">
      <alignment wrapText="1"/>
    </xf>
    <xf numFmtId="171" fontId="71" fillId="24" borderId="2" xfId="194" applyNumberFormat="1" applyFont="1" applyFill="1" applyBorder="1"/>
    <xf numFmtId="171" fontId="72" fillId="35" borderId="2" xfId="194" applyNumberFormat="1" applyFont="1" applyFill="1" applyBorder="1" applyAlignment="1">
      <alignment wrapText="1"/>
    </xf>
    <xf numFmtId="176" fontId="0" fillId="0" borderId="39" xfId="0" applyNumberFormat="1" applyFont="1" applyBorder="1"/>
    <xf numFmtId="1" fontId="71" fillId="0" borderId="2" xfId="0" applyNumberFormat="1" applyFont="1" applyBorder="1"/>
    <xf numFmtId="0" fontId="0" fillId="0" borderId="0" xfId="0" applyBorder="1"/>
    <xf numFmtId="171" fontId="71" fillId="0" borderId="39" xfId="194" applyNumberFormat="1" applyFont="1" applyBorder="1" applyAlignment="1">
      <alignment wrapText="1"/>
    </xf>
    <xf numFmtId="171" fontId="67" fillId="0" borderId="39" xfId="194" applyNumberFormat="1" applyFont="1" applyBorder="1" applyAlignment="1">
      <alignment horizontal="center"/>
    </xf>
    <xf numFmtId="0" fontId="77" fillId="0" borderId="0" xfId="0" applyFont="1"/>
    <xf numFmtId="173" fontId="71" fillId="0" borderId="2" xfId="194" applyNumberFormat="1" applyFont="1" applyFill="1" applyBorder="1"/>
    <xf numFmtId="3" fontId="0" fillId="0" borderId="0" xfId="0" applyNumberFormat="1"/>
    <xf numFmtId="0" fontId="0" fillId="0" borderId="2" xfId="0" applyFont="1" applyBorder="1"/>
    <xf numFmtId="171" fontId="65" fillId="0" borderId="25" xfId="194" applyNumberFormat="1" applyFont="1" applyAlignment="1">
      <alignment wrapText="1"/>
    </xf>
    <xf numFmtId="4" fontId="80" fillId="0" borderId="0" xfId="0" applyNumberFormat="1" applyFont="1"/>
    <xf numFmtId="171" fontId="27" fillId="0" borderId="2" xfId="194" applyNumberFormat="1" applyFont="1" applyBorder="1"/>
    <xf numFmtId="171" fontId="27" fillId="0" borderId="33" xfId="194" applyNumberFormat="1" applyFont="1" applyBorder="1"/>
    <xf numFmtId="171" fontId="27" fillId="0" borderId="39" xfId="194" applyNumberFormat="1" applyFont="1" applyBorder="1"/>
    <xf numFmtId="171" fontId="27" fillId="0" borderId="41" xfId="194" applyNumberFormat="1" applyFont="1" applyBorder="1"/>
    <xf numFmtId="171" fontId="28" fillId="0" borderId="2" xfId="194" applyNumberFormat="1" applyFont="1" applyBorder="1"/>
    <xf numFmtId="176" fontId="28" fillId="0" borderId="2" xfId="194" applyNumberFormat="1" applyFont="1" applyBorder="1"/>
    <xf numFmtId="171" fontId="27" fillId="0" borderId="2" xfId="194" applyNumberFormat="1" applyFont="1" applyBorder="1" applyAlignment="1">
      <alignment vertical="center"/>
    </xf>
    <xf numFmtId="171" fontId="27" fillId="0" borderId="33" xfId="194" applyNumberFormat="1" applyFont="1" applyBorder="1" applyAlignment="1">
      <alignment vertical="center"/>
    </xf>
    <xf numFmtId="176" fontId="27" fillId="35" borderId="35" xfId="194" applyNumberFormat="1" applyFont="1" applyFill="1" applyBorder="1"/>
    <xf numFmtId="176" fontId="27" fillId="0" borderId="2" xfId="194" applyNumberFormat="1" applyFont="1" applyBorder="1"/>
    <xf numFmtId="176" fontId="27" fillId="0" borderId="33" xfId="194" applyNumberFormat="1" applyFont="1" applyBorder="1"/>
    <xf numFmtId="176" fontId="27" fillId="0" borderId="40" xfId="194" applyNumberFormat="1" applyFont="1" applyBorder="1"/>
    <xf numFmtId="176" fontId="27" fillId="0" borderId="34" xfId="194" applyNumberFormat="1" applyFont="1" applyBorder="1"/>
    <xf numFmtId="171" fontId="27" fillId="25" borderId="2" xfId="194" applyNumberFormat="1" applyFont="1" applyFill="1" applyBorder="1" applyAlignment="1">
      <alignment vertical="center"/>
    </xf>
    <xf numFmtId="171" fontId="27" fillId="25" borderId="34" xfId="194" applyNumberFormat="1" applyFont="1" applyFill="1" applyBorder="1" applyAlignment="1">
      <alignment vertical="center"/>
    </xf>
    <xf numFmtId="176" fontId="28" fillId="0" borderId="2" xfId="0" applyNumberFormat="1" applyFont="1" applyBorder="1"/>
    <xf numFmtId="176" fontId="28" fillId="35" borderId="2" xfId="0" applyNumberFormat="1" applyFont="1" applyFill="1" applyBorder="1"/>
    <xf numFmtId="176" fontId="28" fillId="37" borderId="2" xfId="194" applyNumberFormat="1" applyFont="1" applyFill="1" applyBorder="1"/>
    <xf numFmtId="176" fontId="28" fillId="35" borderId="2" xfId="194" applyNumberFormat="1" applyFont="1" applyFill="1" applyBorder="1"/>
    <xf numFmtId="171" fontId="78" fillId="0" borderId="2" xfId="194" applyNumberFormat="1" applyFont="1" applyBorder="1"/>
    <xf numFmtId="171" fontId="78" fillId="0" borderId="33" xfId="194" applyNumberFormat="1" applyFont="1" applyBorder="1"/>
    <xf numFmtId="171" fontId="81" fillId="0" borderId="2" xfId="194" applyNumberFormat="1" applyFont="1" applyBorder="1"/>
    <xf numFmtId="171" fontId="81" fillId="0" borderId="33" xfId="194" applyNumberFormat="1" applyFont="1" applyBorder="1"/>
    <xf numFmtId="171" fontId="79" fillId="0" borderId="2" xfId="194" applyNumberFormat="1" applyFont="1" applyBorder="1"/>
    <xf numFmtId="171" fontId="81" fillId="25" borderId="2" xfId="194" applyNumberFormat="1" applyFont="1" applyFill="1" applyBorder="1"/>
    <xf numFmtId="176" fontId="79" fillId="0" borderId="2" xfId="194" applyNumberFormat="1" applyFont="1" applyBorder="1"/>
    <xf numFmtId="176" fontId="79" fillId="0" borderId="33" xfId="194" applyNumberFormat="1" applyFont="1" applyBorder="1"/>
    <xf numFmtId="171" fontId="81" fillId="36" borderId="2" xfId="194" applyNumberFormat="1" applyFont="1" applyFill="1" applyBorder="1"/>
    <xf numFmtId="176" fontId="81" fillId="0" borderId="2" xfId="194" applyNumberFormat="1" applyFont="1" applyBorder="1"/>
    <xf numFmtId="176" fontId="81" fillId="0" borderId="33" xfId="194" applyNumberFormat="1" applyFont="1" applyBorder="1"/>
    <xf numFmtId="176" fontId="81" fillId="0" borderId="34" xfId="194" applyNumberFormat="1" applyFont="1" applyBorder="1"/>
    <xf numFmtId="171" fontId="78" fillId="0" borderId="34" xfId="194" applyNumberFormat="1" applyFont="1" applyBorder="1"/>
    <xf numFmtId="171" fontId="79" fillId="25" borderId="2" xfId="194" applyNumberFormat="1" applyFont="1" applyFill="1" applyBorder="1"/>
    <xf numFmtId="171" fontId="79" fillId="25" borderId="34" xfId="194" applyNumberFormat="1" applyFont="1" applyFill="1" applyBorder="1"/>
    <xf numFmtId="177" fontId="81" fillId="25" borderId="2" xfId="194" applyNumberFormat="1" applyFont="1" applyFill="1" applyBorder="1"/>
    <xf numFmtId="177" fontId="81" fillId="25" borderId="34" xfId="194" applyNumberFormat="1" applyFont="1" applyFill="1" applyBorder="1"/>
    <xf numFmtId="177" fontId="79" fillId="25" borderId="2" xfId="194" applyNumberFormat="1" applyFont="1" applyFill="1" applyBorder="1"/>
    <xf numFmtId="177" fontId="79" fillId="25" borderId="34" xfId="194" applyNumberFormat="1" applyFont="1" applyFill="1" applyBorder="1"/>
    <xf numFmtId="176" fontId="81" fillId="0" borderId="0" xfId="0" applyNumberFormat="1" applyFont="1"/>
    <xf numFmtId="176" fontId="81" fillId="0" borderId="39" xfId="0" applyNumberFormat="1" applyFont="1" applyBorder="1"/>
    <xf numFmtId="1" fontId="79" fillId="0" borderId="2" xfId="0" applyNumberFormat="1" applyFont="1" applyBorder="1"/>
    <xf numFmtId="0" fontId="80" fillId="0" borderId="0" xfId="0" applyFont="1"/>
    <xf numFmtId="171" fontId="27" fillId="25" borderId="33" xfId="194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7" fillId="24" borderId="2" xfId="70" applyNumberFormat="1" applyFont="1" applyFill="1" applyBorder="1" applyAlignment="1">
      <alignment horizontal="center" vertical="center"/>
    </xf>
    <xf numFmtId="171" fontId="71" fillId="24" borderId="2" xfId="194" applyNumberFormat="1" applyFont="1" applyFill="1" applyBorder="1" applyAlignment="1">
      <alignment wrapText="1"/>
    </xf>
    <xf numFmtId="173" fontId="72" fillId="24" borderId="40" xfId="194" applyNumberFormat="1" applyFont="1" applyFill="1" applyBorder="1"/>
    <xf numFmtId="173" fontId="71" fillId="24" borderId="2" xfId="0" applyNumberFormat="1" applyFont="1" applyFill="1" applyBorder="1"/>
    <xf numFmtId="0" fontId="71" fillId="24" borderId="2" xfId="0" applyFont="1" applyFill="1" applyBorder="1"/>
    <xf numFmtId="0" fontId="0" fillId="24" borderId="2" xfId="0" applyFill="1" applyBorder="1"/>
    <xf numFmtId="173" fontId="71" fillId="24" borderId="40" xfId="194" applyNumberFormat="1" applyFont="1" applyFill="1" applyBorder="1"/>
    <xf numFmtId="171" fontId="71" fillId="24" borderId="2" xfId="194" applyNumberFormat="1" applyFont="1" applyFill="1" applyBorder="1" applyAlignment="1">
      <alignment horizontal="right" wrapText="1"/>
    </xf>
    <xf numFmtId="171" fontId="71" fillId="0" borderId="2" xfId="194" applyNumberFormat="1" applyFont="1" applyBorder="1" applyAlignment="1">
      <alignment horizontal="right" wrapText="1"/>
    </xf>
    <xf numFmtId="0" fontId="72" fillId="35" borderId="2" xfId="0" applyFont="1" applyFill="1" applyBorder="1"/>
    <xf numFmtId="0" fontId="71" fillId="35" borderId="0" xfId="70" applyFont="1" applyFill="1" applyBorder="1" applyAlignment="1">
      <alignment horizontal="left" vertical="center"/>
    </xf>
    <xf numFmtId="173" fontId="71" fillId="35" borderId="2" xfId="194" applyNumberFormat="1" applyFont="1" applyFill="1" applyBorder="1"/>
    <xf numFmtId="2" fontId="71" fillId="35" borderId="2" xfId="0" applyNumberFormat="1" applyFont="1" applyFill="1" applyBorder="1"/>
    <xf numFmtId="173" fontId="72" fillId="35" borderId="2" xfId="194" applyNumberFormat="1" applyFont="1" applyFill="1" applyBorder="1" applyAlignment="1">
      <alignment horizontal="center" vertical="center"/>
    </xf>
    <xf numFmtId="171" fontId="65" fillId="35" borderId="36" xfId="194" applyNumberFormat="1" applyFont="1" applyFill="1" applyBorder="1" applyAlignment="1">
      <alignment horizontal="center"/>
    </xf>
    <xf numFmtId="173" fontId="0" fillId="0" borderId="0" xfId="0" applyNumberFormat="1" applyBorder="1"/>
    <xf numFmtId="0" fontId="72" fillId="35" borderId="2" xfId="70" applyFont="1" applyFill="1" applyBorder="1" applyAlignment="1">
      <alignment horizontal="left" vertical="center"/>
    </xf>
    <xf numFmtId="178" fontId="72" fillId="37" borderId="2" xfId="194" applyNumberFormat="1" applyFont="1" applyFill="1" applyBorder="1" applyAlignment="1">
      <alignment horizontal="center" vertical="center"/>
    </xf>
    <xf numFmtId="171" fontId="65" fillId="35" borderId="2" xfId="194" applyNumberFormat="1" applyFont="1" applyFill="1" applyBorder="1" applyAlignment="1">
      <alignment horizontal="center"/>
    </xf>
    <xf numFmtId="176" fontId="28" fillId="35" borderId="33" xfId="194" applyNumberFormat="1" applyFont="1" applyFill="1" applyBorder="1"/>
    <xf numFmtId="176" fontId="28" fillId="35" borderId="34" xfId="194" applyNumberFormat="1" applyFont="1" applyFill="1" applyBorder="1"/>
    <xf numFmtId="171" fontId="67" fillId="35" borderId="2" xfId="194" applyNumberFormat="1" applyFont="1" applyFill="1" applyBorder="1" applyAlignment="1">
      <alignment horizontal="center"/>
    </xf>
    <xf numFmtId="176" fontId="28" fillId="35" borderId="33" xfId="0" applyNumberFormat="1" applyFont="1" applyFill="1" applyBorder="1"/>
    <xf numFmtId="176" fontId="0" fillId="35" borderId="2" xfId="0" applyNumberFormat="1" applyFont="1" applyFill="1" applyBorder="1"/>
    <xf numFmtId="0" fontId="0" fillId="37" borderId="2" xfId="0" applyFill="1" applyBorder="1"/>
    <xf numFmtId="171" fontId="67" fillId="37" borderId="2" xfId="194" applyNumberFormat="1" applyFont="1" applyFill="1" applyBorder="1" applyAlignment="1">
      <alignment horizontal="left" wrapText="1"/>
    </xf>
    <xf numFmtId="0" fontId="0" fillId="38" borderId="2" xfId="0" applyFill="1" applyBorder="1"/>
    <xf numFmtId="171" fontId="67" fillId="38" borderId="2" xfId="194" applyNumberFormat="1" applyFont="1" applyFill="1" applyBorder="1" applyAlignment="1">
      <alignment horizontal="left" wrapText="1"/>
    </xf>
    <xf numFmtId="171" fontId="67" fillId="38" borderId="2" xfId="194" applyNumberFormat="1" applyFont="1" applyFill="1" applyBorder="1" applyAlignment="1">
      <alignment horizontal="center"/>
    </xf>
    <xf numFmtId="176" fontId="28" fillId="38" borderId="2" xfId="0" applyNumberFormat="1" applyFont="1" applyFill="1" applyBorder="1"/>
    <xf numFmtId="0" fontId="0" fillId="37" borderId="0" xfId="0" applyFill="1"/>
    <xf numFmtId="171" fontId="28" fillId="0" borderId="2" xfId="194" applyNumberFormat="1" applyFont="1" applyBorder="1" applyAlignment="1">
      <alignment horizontal="center"/>
    </xf>
    <xf numFmtId="178" fontId="72" fillId="35" borderId="2" xfId="70" applyNumberFormat="1" applyFont="1" applyFill="1" applyBorder="1" applyAlignment="1">
      <alignment horizontal="right" vertical="center"/>
    </xf>
    <xf numFmtId="10" fontId="28" fillId="24" borderId="20" xfId="0" applyNumberFormat="1" applyFont="1" applyFill="1" applyBorder="1" applyAlignment="1">
      <alignment horizontal="center" vertical="center"/>
    </xf>
    <xf numFmtId="176" fontId="27" fillId="24" borderId="2" xfId="194" applyNumberFormat="1" applyFont="1" applyFill="1" applyBorder="1"/>
    <xf numFmtId="176" fontId="27" fillId="24" borderId="34" xfId="194" applyNumberFormat="1" applyFont="1" applyFill="1" applyBorder="1"/>
    <xf numFmtId="176" fontId="27" fillId="24" borderId="33" xfId="194" applyNumberFormat="1" applyFont="1" applyFill="1" applyBorder="1"/>
    <xf numFmtId="0" fontId="0" fillId="0" borderId="0" xfId="0" applyAlignment="1">
      <alignment horizontal="right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5" fillId="0" borderId="0" xfId="70" applyFont="1" applyBorder="1" applyAlignment="1">
      <alignment horizontal="center" vertical="center"/>
    </xf>
    <xf numFmtId="171" fontId="67" fillId="0" borderId="0" xfId="194" applyNumberFormat="1" applyFont="1" applyBorder="1" applyAlignment="1">
      <alignment horizontal="center" wrapText="1"/>
    </xf>
  </cellXfs>
  <cellStyles count="195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Accent" xfId="176" xr:uid="{00000000-0005-0000-0000-000012000000}"/>
    <cellStyle name="Accent 1" xfId="177" xr:uid="{00000000-0005-0000-0000-000013000000}"/>
    <cellStyle name="Accent 2" xfId="178" xr:uid="{00000000-0005-0000-0000-000014000000}"/>
    <cellStyle name="Accent 3" xfId="179" xr:uid="{00000000-0005-0000-0000-000015000000}"/>
    <cellStyle name="Bad" xfId="180" xr:uid="{00000000-0005-0000-0000-000016000000}"/>
    <cellStyle name="Calc_%" xfId="64" xr:uid="{00000000-0005-0000-0000-000017000000}"/>
    <cellStyle name="Calc_numbers" xfId="194" xr:uid="{00000000-0005-0000-0000-000018000000}"/>
    <cellStyle name="Date" xfId="92" xr:uid="{00000000-0005-0000-0000-000019000000}"/>
    <cellStyle name="default" xfId="173" xr:uid="{00000000-0005-0000-0000-00001A000000}"/>
    <cellStyle name="Default cell" xfId="174" xr:uid="{00000000-0005-0000-0000-00001B000000}"/>
    <cellStyle name="Error" xfId="181" xr:uid="{00000000-0005-0000-0000-00001C000000}"/>
    <cellStyle name="Footnote" xfId="182" xr:uid="{00000000-0005-0000-0000-00001D000000}"/>
    <cellStyle name="Good" xfId="183" xr:uid="{00000000-0005-0000-0000-00001E000000}"/>
    <cellStyle name="Header1" xfId="91" xr:uid="{00000000-0005-0000-0000-00001F000000}"/>
    <cellStyle name="header2" xfId="94" xr:uid="{00000000-0005-0000-0000-000020000000}"/>
    <cellStyle name="Header3" xfId="95" xr:uid="{00000000-0005-0000-0000-000021000000}"/>
    <cellStyle name="Header4" xfId="96" xr:uid="{00000000-0005-0000-0000-000022000000}"/>
    <cellStyle name="Heading" xfId="184" xr:uid="{00000000-0005-0000-0000-000023000000}"/>
    <cellStyle name="Heading 1" xfId="185" xr:uid="{00000000-0005-0000-0000-000024000000}"/>
    <cellStyle name="Heading 2" xfId="186" xr:uid="{00000000-0005-0000-0000-000025000000}"/>
    <cellStyle name="Hyperlink" xfId="187" xr:uid="{00000000-0005-0000-0000-000026000000}"/>
    <cellStyle name="ImportSheet" xfId="99" xr:uid="{00000000-0005-0000-0000-000027000000}"/>
    <cellStyle name="Line_ClosingBal" xfId="100" xr:uid="{00000000-0005-0000-0000-000028000000}"/>
    <cellStyle name="Neutral" xfId="188" xr:uid="{00000000-0005-0000-0000-000029000000}"/>
    <cellStyle name="Normal 6" xfId="88" xr:uid="{00000000-0005-0000-0000-00002A000000}"/>
    <cellStyle name="Normal 6 2" xfId="127" xr:uid="{00000000-0005-0000-0000-00002B000000}"/>
    <cellStyle name="Normal 6 2 2" xfId="128" xr:uid="{00000000-0005-0000-0000-00002C000000}"/>
    <cellStyle name="Normal 6 3" xfId="129" xr:uid="{00000000-0005-0000-0000-00002D000000}"/>
    <cellStyle name="Normal_Moscow Region Schools Model v20" xfId="89" xr:uid="{00000000-0005-0000-0000-00002E000000}"/>
    <cellStyle name="Note" xfId="189" xr:uid="{00000000-0005-0000-0000-00002F000000}"/>
    <cellStyle name="OffSheet" xfId="93" xr:uid="{00000000-0005-0000-0000-000030000000}"/>
    <cellStyle name="Result" xfId="190" xr:uid="{00000000-0005-0000-0000-000031000000}"/>
    <cellStyle name="Status" xfId="191" xr:uid="{00000000-0005-0000-0000-000032000000}"/>
    <cellStyle name="Technical_Input" xfId="97" xr:uid="{00000000-0005-0000-0000-000033000000}"/>
    <cellStyle name="Text" xfId="192" xr:uid="{00000000-0005-0000-0000-000034000000}"/>
    <cellStyle name="Unit" xfId="98" xr:uid="{00000000-0005-0000-0000-000035000000}"/>
    <cellStyle name="Warning" xfId="193" xr:uid="{00000000-0005-0000-0000-000036000000}"/>
    <cellStyle name="Акцент1 2" xfId="21" xr:uid="{00000000-0005-0000-0000-000037000000}"/>
    <cellStyle name="Акцент2 2" xfId="22" xr:uid="{00000000-0005-0000-0000-000038000000}"/>
    <cellStyle name="Акцент3 2" xfId="23" xr:uid="{00000000-0005-0000-0000-000039000000}"/>
    <cellStyle name="Акцент4 2" xfId="24" xr:uid="{00000000-0005-0000-0000-00003A000000}"/>
    <cellStyle name="Акцент5 2" xfId="25" xr:uid="{00000000-0005-0000-0000-00003B000000}"/>
    <cellStyle name="Акцент6 2" xfId="26" xr:uid="{00000000-0005-0000-0000-00003C000000}"/>
    <cellStyle name="Ввод  2" xfId="27" xr:uid="{00000000-0005-0000-0000-00003D000000}"/>
    <cellStyle name="Вывод 2" xfId="28" xr:uid="{00000000-0005-0000-0000-00003E000000}"/>
    <cellStyle name="Вычисление 2" xfId="29" xr:uid="{00000000-0005-0000-0000-00003F000000}"/>
    <cellStyle name="Гиперссылка 2" xfId="87" xr:uid="{00000000-0005-0000-0000-000040000000}"/>
    <cellStyle name="Денежный 2" xfId="30" xr:uid="{00000000-0005-0000-0000-000041000000}"/>
    <cellStyle name="Заголовок 1 2" xfId="31" xr:uid="{00000000-0005-0000-0000-000042000000}"/>
    <cellStyle name="Заголовок 2 2" xfId="32" xr:uid="{00000000-0005-0000-0000-000043000000}"/>
    <cellStyle name="Заголовок 3 2" xfId="33" xr:uid="{00000000-0005-0000-0000-000044000000}"/>
    <cellStyle name="Заголовок 4 2" xfId="34" xr:uid="{00000000-0005-0000-0000-000045000000}"/>
    <cellStyle name="Итог 2" xfId="35" xr:uid="{00000000-0005-0000-0000-000046000000}"/>
    <cellStyle name="Итоги" xfId="85" xr:uid="{00000000-0005-0000-0000-000047000000}"/>
    <cellStyle name="Итоги 2" xfId="106" xr:uid="{00000000-0005-0000-0000-000048000000}"/>
    <cellStyle name="Итоги 2 2" xfId="130" xr:uid="{00000000-0005-0000-0000-000049000000}"/>
    <cellStyle name="ИтогоБИМ" xfId="104" xr:uid="{00000000-0005-0000-0000-00004A000000}"/>
    <cellStyle name="Контрольная ячейка 2" xfId="36" xr:uid="{00000000-0005-0000-0000-00004B000000}"/>
    <cellStyle name="ЛокСмета" xfId="84" xr:uid="{00000000-0005-0000-0000-00004C000000}"/>
    <cellStyle name="ЛокСмета 2" xfId="105" xr:uid="{00000000-0005-0000-0000-00004D000000}"/>
    <cellStyle name="ЛокСмета 2 2" xfId="131" xr:uid="{00000000-0005-0000-0000-00004E000000}"/>
    <cellStyle name="Название 2" xfId="37" xr:uid="{00000000-0005-0000-0000-00004F000000}"/>
    <cellStyle name="Нейтральный 2" xfId="38" xr:uid="{00000000-0005-0000-0000-000050000000}"/>
    <cellStyle name="Обычный" xfId="0" builtinId="0"/>
    <cellStyle name="Обычный 10" xfId="73" xr:uid="{00000000-0005-0000-0000-000052000000}"/>
    <cellStyle name="Обычный 108" xfId="70" xr:uid="{00000000-0005-0000-0000-000053000000}"/>
    <cellStyle name="Обычный 11" xfId="132" xr:uid="{00000000-0005-0000-0000-000054000000}"/>
    <cellStyle name="Обычный 11 2" xfId="133" xr:uid="{00000000-0005-0000-0000-000055000000}"/>
    <cellStyle name="Обычный 11 3" xfId="115" xr:uid="{00000000-0005-0000-0000-000056000000}"/>
    <cellStyle name="Обычный 12" xfId="134" xr:uid="{00000000-0005-0000-0000-000057000000}"/>
    <cellStyle name="Обычный 12 2" xfId="135" xr:uid="{00000000-0005-0000-0000-000058000000}"/>
    <cellStyle name="Обычный 13" xfId="136" xr:uid="{00000000-0005-0000-0000-000059000000}"/>
    <cellStyle name="Обычный 13 2" xfId="137" xr:uid="{00000000-0005-0000-0000-00005A000000}"/>
    <cellStyle name="Обычный 14" xfId="138" xr:uid="{00000000-0005-0000-0000-00005B000000}"/>
    <cellStyle name="Обычный 14 2" xfId="139" xr:uid="{00000000-0005-0000-0000-00005C000000}"/>
    <cellStyle name="Обычный 15" xfId="175" xr:uid="{00000000-0005-0000-0000-00005D000000}"/>
    <cellStyle name="Обычный 16" xfId="62" xr:uid="{00000000-0005-0000-0000-00005E000000}"/>
    <cellStyle name="Обычный 2" xfId="1" xr:uid="{00000000-0005-0000-0000-00005F000000}"/>
    <cellStyle name="Обычный 2 15" xfId="67" xr:uid="{00000000-0005-0000-0000-000060000000}"/>
    <cellStyle name="Обычный 2 15 2" xfId="140" xr:uid="{00000000-0005-0000-0000-000061000000}"/>
    <cellStyle name="Обычный 2 15 2 2" xfId="141" xr:uid="{00000000-0005-0000-0000-000062000000}"/>
    <cellStyle name="Обычный 2 15 3" xfId="142" xr:uid="{00000000-0005-0000-0000-000063000000}"/>
    <cellStyle name="Обычный 2 2" xfId="39" xr:uid="{00000000-0005-0000-0000-000064000000}"/>
    <cellStyle name="Обычный 2 2 2" xfId="116" xr:uid="{00000000-0005-0000-0000-000065000000}"/>
    <cellStyle name="Обычный 2 3" xfId="80" xr:uid="{00000000-0005-0000-0000-000066000000}"/>
    <cellStyle name="Обычный 2 3 2" xfId="101" xr:uid="{00000000-0005-0000-0000-000067000000}"/>
    <cellStyle name="Обычный 2 4" xfId="78" xr:uid="{00000000-0005-0000-0000-000068000000}"/>
    <cellStyle name="Обычный 20 2" xfId="68" xr:uid="{00000000-0005-0000-0000-000069000000}"/>
    <cellStyle name="Обычный 28 2" xfId="86" xr:uid="{00000000-0005-0000-0000-00006A000000}"/>
    <cellStyle name="Обычный 3" xfId="2" xr:uid="{00000000-0005-0000-0000-00006B000000}"/>
    <cellStyle name="Обычный 3 2" xfId="40" xr:uid="{00000000-0005-0000-0000-00006C000000}"/>
    <cellStyle name="Обычный 3 2 2" xfId="143" xr:uid="{00000000-0005-0000-0000-00006D000000}"/>
    <cellStyle name="Обычный 3 2 2 2" xfId="144" xr:uid="{00000000-0005-0000-0000-00006E000000}"/>
    <cellStyle name="Обычный 3 2 3" xfId="145" xr:uid="{00000000-0005-0000-0000-00006F000000}"/>
    <cellStyle name="Обычный 3 2 4" xfId="108" xr:uid="{00000000-0005-0000-0000-000070000000}"/>
    <cellStyle name="Обычный 3 3" xfId="113" xr:uid="{00000000-0005-0000-0000-000071000000}"/>
    <cellStyle name="Обычный 3 4" xfId="103" xr:uid="{00000000-0005-0000-0000-000072000000}"/>
    <cellStyle name="Обычный 4" xfId="41" xr:uid="{00000000-0005-0000-0000-000073000000}"/>
    <cellStyle name="Обычный 4 2" xfId="82" xr:uid="{00000000-0005-0000-0000-000074000000}"/>
    <cellStyle name="Обычный 4 3" xfId="109" xr:uid="{00000000-0005-0000-0000-000075000000}"/>
    <cellStyle name="Обычный 4 3 2" xfId="146" xr:uid="{00000000-0005-0000-0000-000076000000}"/>
    <cellStyle name="Обычный 4 3 2 2" xfId="147" xr:uid="{00000000-0005-0000-0000-000077000000}"/>
    <cellStyle name="Обычный 4 3 3" xfId="148" xr:uid="{00000000-0005-0000-0000-000078000000}"/>
    <cellStyle name="Обычный 4 4" xfId="114" xr:uid="{00000000-0005-0000-0000-000079000000}"/>
    <cellStyle name="Обычный 4 5" xfId="65" xr:uid="{00000000-0005-0000-0000-00007A000000}"/>
    <cellStyle name="Обычный 5" xfId="42" xr:uid="{00000000-0005-0000-0000-00007B000000}"/>
    <cellStyle name="Обычный 5 2" xfId="149" xr:uid="{00000000-0005-0000-0000-00007C000000}"/>
    <cellStyle name="Обычный 5 2 2" xfId="150" xr:uid="{00000000-0005-0000-0000-00007D000000}"/>
    <cellStyle name="Обычный 5 3" xfId="151" xr:uid="{00000000-0005-0000-0000-00007E000000}"/>
    <cellStyle name="Обычный 5 4" xfId="111" xr:uid="{00000000-0005-0000-0000-00007F000000}"/>
    <cellStyle name="Обычный 6" xfId="43" xr:uid="{00000000-0005-0000-0000-000080000000}"/>
    <cellStyle name="Обычный 6 2" xfId="44" xr:uid="{00000000-0005-0000-0000-000081000000}"/>
    <cellStyle name="Обычный 6 2 2" xfId="117" xr:uid="{00000000-0005-0000-0000-000082000000}"/>
    <cellStyle name="Обычный 6 2 3" xfId="152" xr:uid="{00000000-0005-0000-0000-000083000000}"/>
    <cellStyle name="Обычный 6 3" xfId="153" xr:uid="{00000000-0005-0000-0000-000084000000}"/>
    <cellStyle name="Обычный 6 4" xfId="112" xr:uid="{00000000-0005-0000-0000-000085000000}"/>
    <cellStyle name="Обычный 7" xfId="45" xr:uid="{00000000-0005-0000-0000-000086000000}"/>
    <cellStyle name="Обычный 7 2" xfId="118" xr:uid="{00000000-0005-0000-0000-000087000000}"/>
    <cellStyle name="Обычный 7 23" xfId="74" xr:uid="{00000000-0005-0000-0000-000088000000}"/>
    <cellStyle name="Обычный 7 23 2" xfId="155" xr:uid="{00000000-0005-0000-0000-000089000000}"/>
    <cellStyle name="Обычный 7 23 2 2" xfId="156" xr:uid="{00000000-0005-0000-0000-00008A000000}"/>
    <cellStyle name="Обычный 7 23 3" xfId="157" xr:uid="{00000000-0005-0000-0000-00008B000000}"/>
    <cellStyle name="Обычный 7 3" xfId="158" xr:uid="{00000000-0005-0000-0000-00008C000000}"/>
    <cellStyle name="Обычный 7 4" xfId="154" xr:uid="{00000000-0005-0000-0000-00008D000000}"/>
    <cellStyle name="Обычный 8" xfId="46" xr:uid="{00000000-0005-0000-0000-00008E000000}"/>
    <cellStyle name="Обычный 8 2" xfId="159" xr:uid="{00000000-0005-0000-0000-00008F000000}"/>
    <cellStyle name="Обычный 8 2 2" xfId="160" xr:uid="{00000000-0005-0000-0000-000090000000}"/>
    <cellStyle name="Обычный 8 3" xfId="161" xr:uid="{00000000-0005-0000-0000-000091000000}"/>
    <cellStyle name="Обычный 8 4" xfId="110" xr:uid="{00000000-0005-0000-0000-000092000000}"/>
    <cellStyle name="Обычный 9" xfId="75" xr:uid="{00000000-0005-0000-0000-000093000000}"/>
    <cellStyle name="Плохой 2" xfId="47" xr:uid="{00000000-0005-0000-0000-000094000000}"/>
    <cellStyle name="Пояснение 2" xfId="48" xr:uid="{00000000-0005-0000-0000-000095000000}"/>
    <cellStyle name="Примечание 2" xfId="49" xr:uid="{00000000-0005-0000-0000-000096000000}"/>
    <cellStyle name="Процентный 10" xfId="66" xr:uid="{00000000-0005-0000-0000-000097000000}"/>
    <cellStyle name="Процентный 2" xfId="50" xr:uid="{00000000-0005-0000-0000-000098000000}"/>
    <cellStyle name="Процентный 2 2" xfId="51" xr:uid="{00000000-0005-0000-0000-000099000000}"/>
    <cellStyle name="Процентный 2 2 2" xfId="126" xr:uid="{00000000-0005-0000-0000-00009A000000}"/>
    <cellStyle name="Процентный 2 3" xfId="162" xr:uid="{00000000-0005-0000-0000-00009B000000}"/>
    <cellStyle name="Процентный 2 3 2" xfId="120" xr:uid="{00000000-0005-0000-0000-00009C000000}"/>
    <cellStyle name="Процентный 2 4" xfId="119" xr:uid="{00000000-0005-0000-0000-00009D000000}"/>
    <cellStyle name="Процентный 2 6 3" xfId="71" xr:uid="{00000000-0005-0000-0000-00009E000000}"/>
    <cellStyle name="Процентный 2 8" xfId="69" xr:uid="{00000000-0005-0000-0000-00009F000000}"/>
    <cellStyle name="Процентный 2 8 2" xfId="163" xr:uid="{00000000-0005-0000-0000-0000A0000000}"/>
    <cellStyle name="Процентный 2 8 2 2" xfId="164" xr:uid="{00000000-0005-0000-0000-0000A1000000}"/>
    <cellStyle name="Процентный 2 8 3" xfId="165" xr:uid="{00000000-0005-0000-0000-0000A2000000}"/>
    <cellStyle name="Процентный 3" xfId="52" xr:uid="{00000000-0005-0000-0000-0000A3000000}"/>
    <cellStyle name="Процентный 3 2" xfId="122" xr:uid="{00000000-0005-0000-0000-0000A4000000}"/>
    <cellStyle name="Процентный 3 3" xfId="121" xr:uid="{00000000-0005-0000-0000-0000A5000000}"/>
    <cellStyle name="Процентный 4" xfId="53" xr:uid="{00000000-0005-0000-0000-0000A6000000}"/>
    <cellStyle name="Процентный 5" xfId="54" xr:uid="{00000000-0005-0000-0000-0000A7000000}"/>
    <cellStyle name="Процентный 5 2" xfId="55" xr:uid="{00000000-0005-0000-0000-0000A8000000}"/>
    <cellStyle name="Процентный 6" xfId="61" xr:uid="{00000000-0005-0000-0000-0000A9000000}"/>
    <cellStyle name="Процентный 7" xfId="63" xr:uid="{00000000-0005-0000-0000-0000AA000000}"/>
    <cellStyle name="Связанная ячейка 2" xfId="56" xr:uid="{00000000-0005-0000-0000-0000AB000000}"/>
    <cellStyle name="Стиль 1" xfId="123" xr:uid="{00000000-0005-0000-0000-0000AC000000}"/>
    <cellStyle name="Текст предупреждения 2" xfId="57" xr:uid="{00000000-0005-0000-0000-0000AD000000}"/>
    <cellStyle name="Титул" xfId="83" xr:uid="{00000000-0005-0000-0000-0000AE000000}"/>
    <cellStyle name="Титул 2" xfId="102" xr:uid="{00000000-0005-0000-0000-0000AF000000}"/>
    <cellStyle name="Титул 2 2" xfId="166" xr:uid="{00000000-0005-0000-0000-0000B0000000}"/>
    <cellStyle name="Тысячи [0]_Лист1" xfId="58" xr:uid="{00000000-0005-0000-0000-0000B1000000}"/>
    <cellStyle name="Тысячи_Лист1" xfId="59" xr:uid="{00000000-0005-0000-0000-0000B2000000}"/>
    <cellStyle name="Финансовый 2" xfId="81" xr:uid="{00000000-0005-0000-0000-0000B3000000}"/>
    <cellStyle name="Финансовый 2 27" xfId="76" xr:uid="{00000000-0005-0000-0000-0000B4000000}"/>
    <cellStyle name="Финансовый 3" xfId="90" xr:uid="{00000000-0005-0000-0000-0000B5000000}"/>
    <cellStyle name="Финансовый 4" xfId="124" xr:uid="{00000000-0005-0000-0000-0000B6000000}"/>
    <cellStyle name="Финансовый 4 2" xfId="125" xr:uid="{00000000-0005-0000-0000-0000B7000000}"/>
    <cellStyle name="Финансовый 5" xfId="167" xr:uid="{00000000-0005-0000-0000-0000B8000000}"/>
    <cellStyle name="Финансовый 5 22" xfId="72" xr:uid="{00000000-0005-0000-0000-0000B9000000}"/>
    <cellStyle name="Финансовый 5 22 2" xfId="168" xr:uid="{00000000-0005-0000-0000-0000BA000000}"/>
    <cellStyle name="Финансовый 5 22 2 2" xfId="169" xr:uid="{00000000-0005-0000-0000-0000BB000000}"/>
    <cellStyle name="Финансовый 5 22 3" xfId="170" xr:uid="{00000000-0005-0000-0000-0000BC000000}"/>
    <cellStyle name="Финансовый 6" xfId="171" xr:uid="{00000000-0005-0000-0000-0000BD000000}"/>
    <cellStyle name="Финансовый 6 2" xfId="77" xr:uid="{00000000-0005-0000-0000-0000BE000000}"/>
    <cellStyle name="Финансовый 7" xfId="79" xr:uid="{00000000-0005-0000-0000-0000BF000000}"/>
    <cellStyle name="Хвост" xfId="107" xr:uid="{00000000-0005-0000-0000-0000C0000000}"/>
    <cellStyle name="Хвост 2" xfId="172" xr:uid="{00000000-0005-0000-0000-0000C1000000}"/>
    <cellStyle name="Хороший 2" xfId="60" xr:uid="{00000000-0005-0000-0000-0000C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2.1.15\biblioteka\&#1044;&#1086;&#1082;&#1091;&#1084;&#1077;&#1085;&#1090;&#1099;\&#1052;&#1086;&#1085;&#1080;&#1090;&#1086;&#1088;&#1080;&#1085;&#1075;&#1080;\BALANCE.CALC.TARIFF.VSNA.2013YEAR\&#1075;.&#1050;&#1072;&#1089;&#1080;&#1084;&#1086;&#1074;_BALANCE.CALC.TARIFF.VSNA.2013YEAR_(v1.0.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2.1.15\biblioteka\!-=&#1054;&#1073;&#1084;&#1077;&#1085;=-!\_&#1052;&#1077;&#1083;&#1077;&#1096;&#1085;&#1080;&#1082;&#1086;&#1074;&#1072;\&#1058;&#1040;&#1058;&#1040;&#1056;&#1057;&#1058;&#1040;&#1053;\pub_11425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2.1.15\biblioteka\Documents%20and%20Settings\&#1056;&#1099;&#1073;&#1082;&#1080;&#1085;&#1072;\&#1056;&#1072;&#1073;&#1086;&#1095;&#1080;&#1081;%20&#1089;&#1090;&#1086;&#1083;\&#1056;&#1077;&#1075;&#1091;&#1083;&#1080;&#1088;&#1086;&#1074;&#1072;&#1085;&#1080;&#1077;%202011_2012_2013\2014_&#1088;&#1077;&#1075;&#1091;&#1083;&#1080;&#1088;&#1086;&#1074;&#1072;&#1085;&#1080;&#1077;\&#1058;&#1072;&#1090;&#1072;&#1088;&#1089;&#1090;&#1072;&#1085;\pub_11425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dj/Downloads/Telegram%20Desktop/&#1060;&#1052;_&#1056;&#1103;&#1079;&#1072;&#1085;&#1100;_&#1052;&#1057;&#1057;_26_12_2022_&#1082;&#1072;&#1087;_&#1075;&#1088;&#1072;&#1085;&#1090;_&#1092;&#1080;&#1085;&#1072;&#1083;_&#1084;&#1086;&#1081;%20&#1088;&#1072;&#1073;&#1086;&#1095;&#1080;&#108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harkova/Desktop/&#1050;&#1086;&#1085;&#1094;&#1077;&#1089;&#1089;&#1080;&#1103;/&#1060;&#1052;_&#1056;&#1103;&#1079;&#1072;&#1085;&#1100;_&#1052;&#1057;&#1057;_26_12_2022_&#1082;&#1072;&#1087;_&#1075;&#1088;&#1072;&#1085;&#1090;_&#1092;&#1080;&#1085;&#1072;&#1083;_&#1087;&#1086;&#1089;&#1083;&#1077;&#1076;&#1085;&#1080;&#1081;%20&#1074;&#1072;&#1088;&#1080;&#1072;&#1085;&#109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VLDIntegrityProv"/>
      <sheetName val="modVLDProv"/>
      <sheetName val="modVLDProvTM"/>
      <sheetName val="modBalPr"/>
      <sheetName val="modBalTr"/>
      <sheetName val="modCalc"/>
      <sheetName val="modCalcCombi"/>
      <sheetName val="modCalcYear"/>
      <sheetName val="modFuel"/>
      <sheetName val="modCommandButton"/>
      <sheetName val="modTM1"/>
      <sheetName val="modTM2"/>
      <sheetName val="modfrmTemplateMode"/>
      <sheetName val="modCloneData"/>
      <sheetName val="modfrmOrg"/>
      <sheetName val="modCommonProcedures"/>
      <sheetName val="Инструкция"/>
      <sheetName val="Обновление"/>
      <sheetName val="Лог обновления"/>
      <sheetName val="Список организаций"/>
      <sheetName val="TECHSHEET"/>
      <sheetName val="TECH_VERTICAL"/>
      <sheetName val="TECH_HORISONTAL"/>
      <sheetName val="REESTR_ORG"/>
      <sheetName val="REESTR_SOURCE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1 июл"/>
      <sheetName val="ТС.Т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Свод"/>
      <sheetName val="Результаты загрузки"/>
      <sheetName val="Комментарии"/>
      <sheetName val="Проверка"/>
      <sheetName val="REESTR_MO"/>
      <sheetName val="AUTHORISATION"/>
      <sheetName val="REGIONAL_LIST_ORG"/>
      <sheetName val="PLAN1X_LIST_ORG"/>
      <sheetName val="PLAN1X_BPR"/>
      <sheetName val="PLAN1X_BPR_DETAILED"/>
      <sheetName val="PLAN1X_MXPP"/>
      <sheetName val="PLAN1X_MXPP_DETAILED"/>
      <sheetName val="PLAN1X_BTR"/>
      <sheetName val="PLAN1X_BTR_DETAILED"/>
      <sheetName val="PLAN1X_MXTR"/>
      <sheetName val="PLAN1X_MXTR_DETAILED"/>
      <sheetName val="PLAN1X_FUEL"/>
      <sheetName val="PLAN1X_FUEL_GAS"/>
      <sheetName val="PLAN1X_FUEL_TR_1"/>
      <sheetName val="PLAN1X_FUEL_TR_2"/>
      <sheetName val="PLAN1X_FUEL_TR_3"/>
      <sheetName val="PLAN1X_CALC"/>
      <sheetName val="PLAN1X_TM1"/>
      <sheetName val="PLAN1X_TM2"/>
      <sheetName val="modLoad"/>
      <sheetName val="modLoadResults"/>
      <sheetName val="modLoadFiles"/>
      <sheetName val="modSvodButtons"/>
      <sheetName val="modVLDCommonProv"/>
      <sheetName val="VLD"/>
      <sheetName val="modDataRegion"/>
      <sheetName val="modDF"/>
      <sheetName val="modListOrg"/>
      <sheetName val="modfrmRegion"/>
      <sheetName val="modVLDProvGeneralProc"/>
      <sheetName val="modfrmCheckInIsInProgress"/>
      <sheetName val="modfrmPLAN1XUpdateIsInProgress"/>
      <sheetName val="modVLDOrgUniqueness"/>
      <sheetName val="modfrmReestr"/>
      <sheetName val="modUpdTemplMain"/>
      <sheetName val="modfrmCheckUpdates"/>
      <sheetName val="modfrmDateChoose"/>
      <sheetName val="modIHLCommandBar"/>
      <sheetName val="modfrmHEATINGAdditionalOrgData"/>
      <sheetName val="modfrmVSNAVOTVAdditionalOrgData"/>
      <sheetName val="modGeneralProcedures"/>
      <sheetName val="modOpen"/>
      <sheetName val="modfrmReportMode"/>
      <sheetName val="modfrmRegCheckInIsInProgress"/>
      <sheetName val="modfrmRegUpdateIsInProgress"/>
      <sheetName val="ТБО.Т и Н 1 янв"/>
      <sheetName val="ТБО.Т и Н 1 июл"/>
      <sheetName val="ТБО.Т и Н 1 сен"/>
      <sheetName val="ТБО.К год"/>
      <sheetName val="ТБО.К 1 янв"/>
      <sheetName val="ТБО.К 1 июл"/>
      <sheetName val="ТБО.К 1 сен"/>
      <sheetName val="ТС.ДФ"/>
      <sheetName val="ВС.ДФ"/>
      <sheetName val="ВО.Д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E6" t="str">
            <v>водоснабжения</v>
          </cell>
        </row>
        <row r="20">
          <cell r="E20" t="str">
            <v>Вид воды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титульный &quot;ПП&quot;"/>
      <sheetName val="список листов ПП"/>
      <sheetName val="1 ПО"/>
      <sheetName val="2 Баланс"/>
      <sheetName val="3 Перечень абонентов"/>
      <sheetName val="4 План эффективности"/>
      <sheetName val="5 Отчет"/>
      <sheetName val="6 ПМ сети"/>
      <sheetName val="7 ПМ оборудование"/>
      <sheetName val="8 Расчет электроэнергии"/>
      <sheetName val="9 Качество надежность"/>
      <sheetName val="10 Покупная вода"/>
      <sheetName val="титульный &quot;Расчет ФП ОКК&quot; "/>
      <sheetName val="список листов ФП ОКК"/>
      <sheetName val="1 Краткие сведения ОКК "/>
      <sheetName val="2 Калькуляция ВС ОТ"/>
      <sheetName val="3 Калькуляция ВС ДТ"/>
      <sheetName val="4 Реагенты"/>
      <sheetName val="5 Электроэнергия"/>
      <sheetName val="6 ФОТ"/>
      <sheetName val="7 Амортизация"/>
      <sheetName val="7.1 Справка по ОС"/>
      <sheetName val="8 Аренда"/>
      <sheetName val="9 Ремонт"/>
      <sheetName val="9.1 Справка по ремонту"/>
      <sheetName val="9.2 Фактический отчет за БП"/>
      <sheetName val="10 ГСМ"/>
      <sheetName val="11 Цеховые расходы"/>
      <sheetName val="11.1 Распределение ЦР по циклам"/>
      <sheetName val="12 Покупная вода"/>
      <sheetName val="13 Сторонние услуги "/>
      <sheetName val="14 Прочие прямые расходы"/>
      <sheetName val="15 Налоги"/>
      <sheetName val="16 Общеэксп. расходы"/>
      <sheetName val="17 Распределение КР"/>
      <sheetName val="18 Распределение КР по циклам"/>
      <sheetName val="Проверка по категориям"/>
      <sheetName val="Комментарии"/>
      <sheetName val="Проверка"/>
      <sheetName val="List_Add's"/>
      <sheetName val="AllSheetsInThisWorkbook"/>
      <sheetName val="List_Sheets"/>
      <sheetName val="TEHSHEET"/>
      <sheetName val="REESTR_FILTERED"/>
      <sheetName val="REESTR_MO"/>
      <sheetName val="REESTR_ORG"/>
      <sheetName val="modfrmReestr"/>
      <sheetName val="modCommandButton"/>
      <sheetName val="mod_wb"/>
      <sheetName val="mod_Coms"/>
      <sheetName val="mod_00"/>
      <sheetName val="modfrmSetErr"/>
      <sheetName val="modUpdTemplMain"/>
      <sheetName val="modProv"/>
      <sheetName val="modReestr"/>
      <sheetName val="modChange"/>
      <sheetName val="mod_01"/>
      <sheetName val="mod_02"/>
      <sheetName val="mod_03"/>
      <sheetName val="mod_04"/>
      <sheetName val="mod_05"/>
      <sheetName val="mod_06"/>
      <sheetName val="mod_07"/>
      <sheetName val="mod_08"/>
      <sheetName val="mod_09"/>
      <sheetName val="mod_10"/>
      <sheetName val="mod_11"/>
      <sheetName val="mod_12"/>
      <sheetName val="mod_13"/>
      <sheetName val="mod_14"/>
      <sheetName val="mod_15"/>
      <sheetName val="mod_16"/>
      <sheetName val="mod_17"/>
      <sheetName val="mod_18"/>
      <sheetName val="mod_19"/>
      <sheetName val="mod_20"/>
      <sheetName val="mod_21"/>
      <sheetName val="mod_22"/>
      <sheetName val="mod_23"/>
      <sheetName val="mod_24"/>
      <sheetName val="mod_25"/>
      <sheetName val="mod_26"/>
      <sheetName val="mod_27"/>
      <sheetName val="mod_28"/>
      <sheetName val="mod_29"/>
      <sheetName val="mod_30"/>
      <sheetName val="mod_31"/>
      <sheetName val="mod_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2">
          <cell r="F2" t="str">
            <v>1 год</v>
          </cell>
        </row>
        <row r="3">
          <cell r="F3" t="str">
            <v>2 года</v>
          </cell>
        </row>
        <row r="4">
          <cell r="F4" t="str">
            <v>3 года</v>
          </cell>
        </row>
        <row r="12">
          <cell r="G12" t="str">
            <v>Согласно учетной политики, принятой в организации</v>
          </cell>
        </row>
        <row r="13">
          <cell r="G13" t="str">
            <v>Пропорционально условно-постоянным расходам</v>
          </cell>
        </row>
        <row r="14">
          <cell r="G14" t="str">
            <v>Пропорционально прямым расходам по регулируемым видам деятельности</v>
          </cell>
        </row>
      </sheetData>
      <sheetData sheetId="48"/>
      <sheetData sheetId="49" refreshError="1">
        <row r="2">
          <cell r="D2" t="str">
            <v>Агрызский муниципальный район</v>
          </cell>
        </row>
        <row r="3">
          <cell r="D3" t="str">
            <v>Азнакаевский муниципальный район</v>
          </cell>
        </row>
        <row r="4">
          <cell r="D4" t="str">
            <v>Аксубаевский муниципальный район</v>
          </cell>
        </row>
        <row r="5">
          <cell r="D5" t="str">
            <v>Актанышский муниципальный район</v>
          </cell>
        </row>
        <row r="6">
          <cell r="D6" t="str">
            <v>Алексеевский муниципальный район</v>
          </cell>
        </row>
        <row r="7">
          <cell r="D7" t="str">
            <v>Алькеевский муниципальный район</v>
          </cell>
        </row>
        <row r="8">
          <cell r="D8" t="str">
            <v>Альметьевский муниципальный район</v>
          </cell>
        </row>
        <row r="9">
          <cell r="D9" t="str">
            <v>Апастовский муниципальный район</v>
          </cell>
        </row>
        <row r="10">
          <cell r="D10" t="str">
            <v>Арский муниципальный район</v>
          </cell>
        </row>
        <row r="11">
          <cell r="D11" t="str">
            <v>Атнинский муниципальный район</v>
          </cell>
        </row>
        <row r="12">
          <cell r="D12" t="str">
            <v>Бавлинский муниципальный район</v>
          </cell>
        </row>
        <row r="13">
          <cell r="D13" t="str">
            <v>Балтасинский муниципальный район</v>
          </cell>
        </row>
        <row r="14">
          <cell r="D14" t="str">
            <v>Бугульминский муниципальный район</v>
          </cell>
        </row>
        <row r="15">
          <cell r="D15" t="str">
            <v>Буинский муниципальный район</v>
          </cell>
        </row>
        <row r="16">
          <cell r="D16" t="str">
            <v>Верхнеуслонский муниципальный район</v>
          </cell>
        </row>
        <row r="17">
          <cell r="D17" t="str">
            <v>Высокогорский муниципальный район</v>
          </cell>
        </row>
        <row r="18">
          <cell r="D18" t="str">
            <v>Город Казань</v>
          </cell>
        </row>
        <row r="19">
          <cell r="D19" t="str">
            <v>Город Набережные Челны</v>
          </cell>
        </row>
        <row r="20">
          <cell r="D20" t="str">
            <v>Дрожжановский муниципальный район</v>
          </cell>
        </row>
        <row r="21">
          <cell r="D21" t="str">
            <v>Елабужский муниципальный район</v>
          </cell>
        </row>
        <row r="22">
          <cell r="D22" t="str">
            <v>Заинский муниципальный район</v>
          </cell>
        </row>
        <row r="23">
          <cell r="D23" t="str">
            <v>Зеленодольский муниципальный район</v>
          </cell>
        </row>
        <row r="24">
          <cell r="D24" t="str">
            <v>Кайбицкий муниципальный район</v>
          </cell>
        </row>
        <row r="25">
          <cell r="D25" t="str">
            <v>Камско-Устьинский муниципальный район</v>
          </cell>
        </row>
        <row r="26">
          <cell r="D26" t="str">
            <v>Кукморский муниципальный район</v>
          </cell>
        </row>
        <row r="27">
          <cell r="D27" t="str">
            <v>Лаишевский муниципальный район</v>
          </cell>
        </row>
        <row r="28">
          <cell r="D28" t="str">
            <v>Лениногорский муниципальный район</v>
          </cell>
        </row>
        <row r="29">
          <cell r="D29" t="str">
            <v>Мамадышский муниципальный район</v>
          </cell>
        </row>
        <row r="30">
          <cell r="D30" t="str">
            <v>Менделеевский муниципальный район</v>
          </cell>
        </row>
        <row r="31">
          <cell r="D31" t="str">
            <v>Мензелинский муниципальный район</v>
          </cell>
        </row>
        <row r="32">
          <cell r="D32" t="str">
            <v>Муслюмовский муниципальный район</v>
          </cell>
        </row>
        <row r="33">
          <cell r="D33" t="str">
            <v>Нижнекамский муниципальный район</v>
          </cell>
        </row>
        <row r="34">
          <cell r="D34" t="str">
            <v>Новошешминский муниципальный район</v>
          </cell>
        </row>
        <row r="35">
          <cell r="D35" t="str">
            <v>Нурлатский муниципальный район</v>
          </cell>
        </row>
        <row r="36">
          <cell r="D36" t="str">
            <v>Пестречинский муниципальный район</v>
          </cell>
        </row>
        <row r="37">
          <cell r="D37" t="str">
            <v>Рыбно-Слободский муниципальный район</v>
          </cell>
        </row>
        <row r="38">
          <cell r="D38" t="str">
            <v>Сабинский муниципальный район</v>
          </cell>
        </row>
        <row r="39">
          <cell r="D39" t="str">
            <v>Сармановский муниципальный район</v>
          </cell>
        </row>
        <row r="40">
          <cell r="D40" t="str">
            <v>Спасский муниципальный район</v>
          </cell>
        </row>
        <row r="41">
          <cell r="D41" t="str">
            <v>Тетюшский муниципальный район</v>
          </cell>
        </row>
        <row r="42">
          <cell r="D42" t="str">
            <v>Тукаевский муниципальный район</v>
          </cell>
        </row>
        <row r="43">
          <cell r="D43" t="str">
            <v>Тюлячинский муниципальный район</v>
          </cell>
        </row>
        <row r="44">
          <cell r="D44" t="str">
            <v>Черемшанский муниципальный район</v>
          </cell>
        </row>
        <row r="45">
          <cell r="D45" t="str">
            <v>Чистопольский муниципальный район</v>
          </cell>
        </row>
        <row r="46">
          <cell r="D46" t="str">
            <v>Ютазинский муниципальный район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титульный &quot;ПП&quot;"/>
      <sheetName val="список листов ПП"/>
      <sheetName val="1 ПО"/>
      <sheetName val="2 Баланс"/>
      <sheetName val="3 Перечень абонентов"/>
      <sheetName val="4 План эффективности"/>
      <sheetName val="5 Отчет"/>
      <sheetName val="6 ПМ сети"/>
      <sheetName val="7 ПМ оборудование"/>
      <sheetName val="8 Расчет электроэнергии"/>
      <sheetName val="9 Качество надежность"/>
      <sheetName val="10 Покупная вода"/>
      <sheetName val="титульный &quot;Расчет ФП ОКК&quot; "/>
      <sheetName val="список листов ФП ОКК"/>
      <sheetName val="1 Краткие сведения ОКК "/>
      <sheetName val="2 Калькуляция ВС ОТ"/>
      <sheetName val="3 Калькуляция ВС ДТ"/>
      <sheetName val="4 Реагенты"/>
      <sheetName val="5 Электроэнергия"/>
      <sheetName val="6 ФОТ"/>
      <sheetName val="7 Амортизация"/>
      <sheetName val="7.1 Справка по ОС"/>
      <sheetName val="8 Аренда"/>
      <sheetName val="9 Ремонт"/>
      <sheetName val="9.1 Справка по ремонту"/>
      <sheetName val="9.2 Фактический отчет за БП"/>
      <sheetName val="10 ГСМ"/>
      <sheetName val="11 Цеховые расходы"/>
      <sheetName val="11.1 Распределение ЦР по циклам"/>
      <sheetName val="12 Покупная вода"/>
      <sheetName val="13 Сторонние услуги "/>
      <sheetName val="14 Прочие прямые расходы"/>
      <sheetName val="15 Налоги"/>
      <sheetName val="16 Общеэксп. расходы"/>
      <sheetName val="17 Распределение КР"/>
      <sheetName val="18 Распределение КР по циклам"/>
      <sheetName val="Проверка по категориям"/>
      <sheetName val="Комментарии"/>
      <sheetName val="Проверка"/>
      <sheetName val="List_Add's"/>
      <sheetName val="AllSheetsInThisWorkbook"/>
      <sheetName val="List_Sheets"/>
      <sheetName val="TEHSHEET"/>
      <sheetName val="REESTR_FILTERED"/>
      <sheetName val="REESTR_MO"/>
      <sheetName val="REESTR_ORG"/>
      <sheetName val="modfrmReestr"/>
      <sheetName val="modCommandButton"/>
      <sheetName val="mod_wb"/>
      <sheetName val="mod_Coms"/>
      <sheetName val="mod_00"/>
      <sheetName val="modfrmSetErr"/>
      <sheetName val="modUpdTemplMain"/>
      <sheetName val="modProv"/>
      <sheetName val="modReestr"/>
      <sheetName val="modChange"/>
      <sheetName val="mod_01"/>
      <sheetName val="mod_02"/>
      <sheetName val="mod_03"/>
      <sheetName val="mod_04"/>
      <sheetName val="mod_05"/>
      <sheetName val="mod_06"/>
      <sheetName val="mod_07"/>
      <sheetName val="mod_08"/>
      <sheetName val="mod_09"/>
      <sheetName val="mod_10"/>
      <sheetName val="mod_11"/>
      <sheetName val="mod_12"/>
      <sheetName val="mod_13"/>
      <sheetName val="mod_14"/>
      <sheetName val="mod_15"/>
      <sheetName val="mod_16"/>
      <sheetName val="mod_17"/>
      <sheetName val="mod_18"/>
      <sheetName val="mod_19"/>
      <sheetName val="mod_20"/>
      <sheetName val="mod_21"/>
      <sheetName val="mod_22"/>
      <sheetName val="mod_23"/>
      <sheetName val="mod_24"/>
      <sheetName val="mod_25"/>
      <sheetName val="mod_26"/>
      <sheetName val="mod_27"/>
      <sheetName val="mod_28"/>
      <sheetName val="mod_29"/>
      <sheetName val="mod_30"/>
      <sheetName val="mod_31"/>
      <sheetName val="mod_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2">
          <cell r="H2" t="str">
            <v>техническая вода</v>
          </cell>
          <cell r="I2" t="str">
            <v>услуги по подъему воды</v>
          </cell>
        </row>
        <row r="3">
          <cell r="H3" t="str">
            <v>питьевая вода</v>
          </cell>
          <cell r="I3" t="str">
            <v xml:space="preserve">услуги по очистке воды </v>
          </cell>
        </row>
        <row r="4">
          <cell r="I4" t="str">
            <v>услуги по транспортированию воды</v>
          </cell>
        </row>
        <row r="5">
          <cell r="I5" t="str">
            <v>услуги на весь технолигический цикл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звание"/>
      <sheetName val="Итоги"/>
      <sheetName val="PL CF"/>
      <sheetName val="BS-1"/>
      <sheetName val="Вводные"/>
      <sheetName val="Тариф"/>
      <sheetName val="ПП"/>
      <sheetName val="Кредит"/>
      <sheetName val="ДПР"/>
      <sheetName val="НЦС (ППК)"/>
      <sheetName val="Сарех"/>
      <sheetName val="Спецтехника и ГСМ"/>
      <sheetName val="плата негат возд"/>
      <sheetName val="БГ"/>
      <sheetName val="страх"/>
      <sheetName val="Полигон 1-4"/>
      <sheetName val="МСС 1-5"/>
      <sheetName val="АУП"/>
      <sheetName val="Оборудование МСС"/>
    </sheetNames>
    <sheetDataSet>
      <sheetData sheetId="0"/>
      <sheetData sheetId="1"/>
      <sheetData sheetId="2"/>
      <sheetData sheetId="3"/>
      <sheetData sheetId="4"/>
      <sheetData sheetId="5">
        <row r="11">
          <cell r="I11">
            <v>131080.89000000001</v>
          </cell>
          <cell r="J11">
            <v>131080.89000000001</v>
          </cell>
          <cell r="K11">
            <v>131080.89000000001</v>
          </cell>
          <cell r="L11">
            <v>131080.89000000001</v>
          </cell>
          <cell r="M11">
            <v>131080.89000000001</v>
          </cell>
          <cell r="N11">
            <v>131080.89000000001</v>
          </cell>
          <cell r="O11">
            <v>131080.89000000001</v>
          </cell>
          <cell r="P11">
            <v>131080.89000000001</v>
          </cell>
          <cell r="Q11">
            <v>131080.89000000001</v>
          </cell>
          <cell r="R11">
            <v>131080.89000000001</v>
          </cell>
          <cell r="S11">
            <v>131080.89000000001</v>
          </cell>
          <cell r="T11">
            <v>131080.89000000001</v>
          </cell>
          <cell r="U11">
            <v>131080.89000000001</v>
          </cell>
          <cell r="V11">
            <v>131080.89000000001</v>
          </cell>
          <cell r="W11">
            <v>131080.89000000001</v>
          </cell>
          <cell r="X11">
            <v>131080.89000000001</v>
          </cell>
          <cell r="Y11">
            <v>131080.89000000001</v>
          </cell>
          <cell r="Z11">
            <v>131080.89000000001</v>
          </cell>
          <cell r="AA11">
            <v>131080.89000000001</v>
          </cell>
          <cell r="AB11">
            <v>131080.89000000001</v>
          </cell>
          <cell r="AC11">
            <v>131080.89000000001</v>
          </cell>
          <cell r="AD11">
            <v>131080.89000000001</v>
          </cell>
        </row>
        <row r="12">
          <cell r="I12">
            <v>1008314.5384615385</v>
          </cell>
          <cell r="J12">
            <v>1008314.5384615385</v>
          </cell>
          <cell r="K12">
            <v>1008314.5384615385</v>
          </cell>
          <cell r="L12">
            <v>1008314.5384615385</v>
          </cell>
          <cell r="M12">
            <v>1008314.5384615385</v>
          </cell>
          <cell r="N12">
            <v>1008314.5384615385</v>
          </cell>
          <cell r="O12">
            <v>1008314.5384615385</v>
          </cell>
          <cell r="P12">
            <v>1008314.5384615385</v>
          </cell>
          <cell r="Q12">
            <v>1008314.5384615385</v>
          </cell>
          <cell r="R12">
            <v>1008314.5384615385</v>
          </cell>
          <cell r="S12">
            <v>1008314.5384615385</v>
          </cell>
          <cell r="T12">
            <v>1008314.5384615385</v>
          </cell>
          <cell r="U12">
            <v>1008314.5384615385</v>
          </cell>
          <cell r="V12">
            <v>1008314.5384615385</v>
          </cell>
          <cell r="W12">
            <v>1008314.5384615385</v>
          </cell>
          <cell r="X12">
            <v>1008314.5384615385</v>
          </cell>
          <cell r="Y12">
            <v>1008314.5384615385</v>
          </cell>
          <cell r="Z12">
            <v>1008314.5384615385</v>
          </cell>
          <cell r="AA12">
            <v>1008314.5384615385</v>
          </cell>
          <cell r="AB12">
            <v>1008314.5384615385</v>
          </cell>
          <cell r="AC12">
            <v>1008314.5384615385</v>
          </cell>
          <cell r="AD12">
            <v>1008314.5384615385</v>
          </cell>
        </row>
        <row r="102"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звание"/>
      <sheetName val="Итоги"/>
      <sheetName val="PL CF"/>
      <sheetName val="BS-1"/>
      <sheetName val="Вводные"/>
      <sheetName val="Тариф"/>
      <sheetName val="ПП"/>
      <sheetName val="Кредит"/>
      <sheetName val="ДПР"/>
      <sheetName val="НЦС (ППК)"/>
      <sheetName val="Сарех"/>
      <sheetName val="Спецтехника и ГСМ"/>
      <sheetName val="плата негат возд"/>
      <sheetName val="БГ"/>
      <sheetName val="страх"/>
      <sheetName val="Полигон 1-4"/>
      <sheetName val="МСС 1-5"/>
      <sheetName val="АУП"/>
      <sheetName val="Оборудование МСС"/>
    </sheetNames>
    <sheetDataSet>
      <sheetData sheetId="0"/>
      <sheetData sheetId="1"/>
      <sheetData sheetId="2"/>
      <sheetData sheetId="3"/>
      <sheetData sheetId="4">
        <row r="84">
          <cell r="D84">
            <v>162</v>
          </cell>
        </row>
        <row r="89">
          <cell r="D89">
            <v>17</v>
          </cell>
        </row>
        <row r="90">
          <cell r="D90">
            <v>1</v>
          </cell>
        </row>
      </sheetData>
      <sheetData sheetId="5">
        <row r="4"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>
            <v>1</v>
          </cell>
          <cell r="T4">
            <v>1</v>
          </cell>
          <cell r="U4">
            <v>1</v>
          </cell>
          <cell r="V4">
            <v>1</v>
          </cell>
          <cell r="W4">
            <v>1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1</v>
          </cell>
          <cell r="AC4">
            <v>1</v>
          </cell>
          <cell r="AD4">
            <v>1</v>
          </cell>
          <cell r="AE4">
            <v>1</v>
          </cell>
        </row>
      </sheetData>
      <sheetData sheetId="6"/>
      <sheetData sheetId="7">
        <row r="86">
          <cell r="I86">
            <v>47373.769313840581</v>
          </cell>
          <cell r="J86">
            <v>47373.769313840581</v>
          </cell>
          <cell r="K86">
            <v>47373.769313840581</v>
          </cell>
          <cell r="L86">
            <v>47373.769313840581</v>
          </cell>
          <cell r="M86">
            <v>47373.769313840581</v>
          </cell>
          <cell r="N86">
            <v>47373.769313840581</v>
          </cell>
          <cell r="O86">
            <v>47373.769313840581</v>
          </cell>
          <cell r="P86">
            <v>47373.769313840581</v>
          </cell>
          <cell r="Q86">
            <v>47373.769313840581</v>
          </cell>
          <cell r="R86">
            <v>41935.651304347826</v>
          </cell>
          <cell r="S86">
            <v>50307.384118167865</v>
          </cell>
          <cell r="T86">
            <v>50307.384118167865</v>
          </cell>
          <cell r="U86">
            <v>50307.384118167865</v>
          </cell>
          <cell r="V86">
            <v>50307.384118167865</v>
          </cell>
          <cell r="W86">
            <v>50307.384118167865</v>
          </cell>
          <cell r="X86">
            <v>50307.384118167865</v>
          </cell>
          <cell r="Y86">
            <v>50307.384118167865</v>
          </cell>
          <cell r="Z86">
            <v>50307.384118167865</v>
          </cell>
          <cell r="AA86">
            <v>50307.384118167865</v>
          </cell>
          <cell r="AB86">
            <v>50307.384118167865</v>
          </cell>
          <cell r="AC86">
            <v>41935.651304347826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workbookViewId="0">
      <selection activeCell="D36" sqref="D36:N36"/>
    </sheetView>
  </sheetViews>
  <sheetFormatPr defaultRowHeight="15"/>
  <cols>
    <col min="2" max="2" width="55.7109375" customWidth="1"/>
    <col min="3" max="3" width="11.28515625" customWidth="1"/>
    <col min="4" max="4" width="12" customWidth="1"/>
    <col min="5" max="13" width="11.28515625" bestFit="1" customWidth="1"/>
    <col min="14" max="14" width="11.5703125" customWidth="1"/>
    <col min="15" max="15" width="13.7109375" customWidth="1"/>
    <col min="16" max="16" width="16.140625" customWidth="1"/>
    <col min="17" max="17" width="14" customWidth="1"/>
    <col min="18" max="18" width="12.42578125" customWidth="1"/>
    <col min="19" max="19" width="15.5703125" customWidth="1"/>
    <col min="20" max="20" width="19" customWidth="1"/>
  </cols>
  <sheetData>
    <row r="1" spans="1:21">
      <c r="L1" s="241" t="s">
        <v>56</v>
      </c>
      <c r="M1" s="241"/>
      <c r="N1" s="241"/>
    </row>
    <row r="2" spans="1:21" ht="15.75">
      <c r="A2" s="247" t="s">
        <v>59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21" ht="15.75" thickBot="1"/>
    <row r="4" spans="1:21" ht="16.5" customHeight="1" thickBot="1">
      <c r="A4" s="248" t="s">
        <v>5</v>
      </c>
      <c r="B4" s="248" t="s">
        <v>10</v>
      </c>
      <c r="C4" s="248" t="s">
        <v>4</v>
      </c>
      <c r="D4" s="249" t="s">
        <v>11</v>
      </c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1"/>
    </row>
    <row r="5" spans="1:21" ht="16.5" thickBot="1">
      <c r="A5" s="248"/>
      <c r="B5" s="248"/>
      <c r="C5" s="248"/>
      <c r="D5" s="2">
        <v>2025</v>
      </c>
      <c r="E5" s="24">
        <v>2026</v>
      </c>
      <c r="F5" s="100">
        <v>2027</v>
      </c>
      <c r="G5" s="100">
        <v>2028</v>
      </c>
      <c r="H5" s="100">
        <v>2029</v>
      </c>
      <c r="I5" s="2">
        <v>2030</v>
      </c>
      <c r="J5" s="2">
        <v>2031</v>
      </c>
      <c r="K5" s="2">
        <v>2032</v>
      </c>
      <c r="L5" s="2">
        <v>2033</v>
      </c>
      <c r="M5" s="2">
        <v>2034</v>
      </c>
      <c r="N5" s="2">
        <v>2035</v>
      </c>
      <c r="O5" s="2">
        <v>2036</v>
      </c>
    </row>
    <row r="6" spans="1:21" ht="16.5" thickBot="1">
      <c r="A6" s="2">
        <v>1</v>
      </c>
      <c r="B6" s="2">
        <v>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 t="s">
        <v>17</v>
      </c>
      <c r="I6" s="1" t="s">
        <v>18</v>
      </c>
      <c r="J6" s="1" t="s">
        <v>19</v>
      </c>
      <c r="K6" s="1" t="s">
        <v>20</v>
      </c>
      <c r="L6" s="1" t="s">
        <v>21</v>
      </c>
      <c r="M6" s="1" t="s">
        <v>22</v>
      </c>
      <c r="N6" s="1" t="s">
        <v>23</v>
      </c>
      <c r="O6" s="1" t="s">
        <v>44</v>
      </c>
    </row>
    <row r="7" spans="1:21">
      <c r="A7" s="3" t="s">
        <v>24</v>
      </c>
      <c r="B7" s="4" t="s">
        <v>25</v>
      </c>
      <c r="C7" s="5" t="s">
        <v>26</v>
      </c>
      <c r="D7" s="14">
        <f t="shared" ref="D7:O7" si="0">D8+D14+D15+D17</f>
        <v>638347.40401178517</v>
      </c>
      <c r="E7" s="14">
        <f t="shared" si="0"/>
        <v>652987.61546630808</v>
      </c>
      <c r="F7" s="14">
        <f t="shared" si="0"/>
        <v>668503.84115000675</v>
      </c>
      <c r="G7" s="14">
        <f t="shared" si="0"/>
        <v>718213.65600625519</v>
      </c>
      <c r="H7" s="14">
        <f t="shared" si="0"/>
        <v>675988.42849474866</v>
      </c>
      <c r="I7" s="14">
        <f t="shared" si="0"/>
        <v>693897.67124106444</v>
      </c>
      <c r="J7" s="14">
        <f t="shared" si="0"/>
        <v>712784.90400530444</v>
      </c>
      <c r="K7" s="14">
        <f t="shared" si="0"/>
        <v>732706.81343447953</v>
      </c>
      <c r="L7" s="14">
        <f t="shared" si="0"/>
        <v>753723.55835596099</v>
      </c>
      <c r="M7" s="14">
        <f t="shared" si="0"/>
        <v>775898.99509334692</v>
      </c>
      <c r="N7" s="14">
        <f t="shared" si="0"/>
        <v>802178.83058881329</v>
      </c>
      <c r="O7" s="14">
        <f t="shared" si="0"/>
        <v>582523.42165234126</v>
      </c>
      <c r="P7" s="21"/>
      <c r="Q7" s="21"/>
    </row>
    <row r="8" spans="1:21">
      <c r="A8" s="6" t="s">
        <v>0</v>
      </c>
      <c r="B8" s="7" t="s">
        <v>27</v>
      </c>
      <c r="C8" s="8" t="s">
        <v>26</v>
      </c>
      <c r="D8" s="20">
        <f t="shared" ref="D8:O8" si="1">D9+D12+D13</f>
        <v>253446.27265439625</v>
      </c>
      <c r="E8" s="15">
        <f t="shared" si="1"/>
        <v>268151.04127264</v>
      </c>
      <c r="F8" s="15">
        <f t="shared" si="1"/>
        <v>283741.44433417614</v>
      </c>
      <c r="G8" s="15">
        <f t="shared" si="1"/>
        <v>331952.0500690164</v>
      </c>
      <c r="H8" s="15">
        <f t="shared" si="1"/>
        <v>336432.51581534208</v>
      </c>
      <c r="I8" s="15">
        <f t="shared" si="1"/>
        <v>354401.8359178945</v>
      </c>
      <c r="J8" s="15">
        <f t="shared" si="1"/>
        <v>373361.10356420657</v>
      </c>
      <c r="K8" s="15">
        <f t="shared" si="1"/>
        <v>393368.08692977508</v>
      </c>
      <c r="L8" s="15">
        <f t="shared" si="1"/>
        <v>414484.10851365072</v>
      </c>
      <c r="M8" s="15">
        <f t="shared" si="1"/>
        <v>436774.27629110281</v>
      </c>
      <c r="N8" s="15">
        <f t="shared" si="1"/>
        <v>463901.08683011011</v>
      </c>
      <c r="O8" s="36">
        <f t="shared" si="1"/>
        <v>424140.36652543454</v>
      </c>
      <c r="P8" s="21"/>
      <c r="Q8" s="21"/>
    </row>
    <row r="9" spans="1:21">
      <c r="A9" s="6" t="s">
        <v>8</v>
      </c>
      <c r="B9" s="9" t="s">
        <v>28</v>
      </c>
      <c r="C9" s="8" t="s">
        <v>26</v>
      </c>
      <c r="D9" s="20">
        <v>203244.92338459601</v>
      </c>
      <c r="E9" s="15">
        <v>213030.0699708483</v>
      </c>
      <c r="F9" s="15">
        <v>223342.64835642956</v>
      </c>
      <c r="G9" s="15">
        <v>265889.22560883884</v>
      </c>
      <c r="H9" s="15">
        <v>278284.80917946581</v>
      </c>
      <c r="I9" s="15">
        <v>291329.60610719834</v>
      </c>
      <c r="J9" s="15">
        <v>305059.47834817652</v>
      </c>
      <c r="K9" s="15">
        <v>319512.34422800579</v>
      </c>
      <c r="L9" s="15">
        <v>334728.29884727136</v>
      </c>
      <c r="M9" s="15">
        <v>350749.74161710107</v>
      </c>
      <c r="N9" s="15">
        <v>367634.4010277706</v>
      </c>
      <c r="O9" s="36">
        <v>385595.39506900473</v>
      </c>
      <c r="P9" s="21"/>
      <c r="Q9" s="21"/>
    </row>
    <row r="10" spans="1:21">
      <c r="A10" s="10" t="s">
        <v>29</v>
      </c>
      <c r="B10" s="9" t="s">
        <v>30</v>
      </c>
      <c r="C10" s="8" t="s">
        <v>6</v>
      </c>
      <c r="D10" s="23">
        <v>0.01</v>
      </c>
      <c r="E10" s="16">
        <v>0.01</v>
      </c>
      <c r="F10" s="16">
        <v>0.01</v>
      </c>
      <c r="G10" s="16">
        <v>0.01</v>
      </c>
      <c r="H10" s="16">
        <v>0.01</v>
      </c>
      <c r="I10" s="16">
        <v>0.01</v>
      </c>
      <c r="J10" s="16">
        <v>0.01</v>
      </c>
      <c r="K10" s="16">
        <v>0.01</v>
      </c>
      <c r="L10" s="16">
        <v>0.01</v>
      </c>
      <c r="M10" s="16">
        <v>0.01</v>
      </c>
      <c r="N10" s="16">
        <v>0.01</v>
      </c>
      <c r="O10" s="27">
        <v>0.01</v>
      </c>
      <c r="P10" s="21"/>
    </row>
    <row r="11" spans="1:21">
      <c r="A11" s="10" t="s">
        <v>31</v>
      </c>
      <c r="B11" s="9" t="s">
        <v>32</v>
      </c>
      <c r="C11" s="8" t="s">
        <v>6</v>
      </c>
      <c r="D11" s="17">
        <v>1.04</v>
      </c>
      <c r="E11" s="17">
        <v>1.04</v>
      </c>
      <c r="F11" s="17">
        <v>1.04</v>
      </c>
      <c r="G11" s="17">
        <v>1.04</v>
      </c>
      <c r="H11" s="17">
        <v>1.04</v>
      </c>
      <c r="I11" s="17">
        <v>1.04</v>
      </c>
      <c r="J11" s="17">
        <v>1.04</v>
      </c>
      <c r="K11" s="17">
        <v>1.04</v>
      </c>
      <c r="L11" s="17">
        <v>1.04</v>
      </c>
      <c r="M11" s="17">
        <v>1.04</v>
      </c>
      <c r="N11" s="17">
        <v>1.04</v>
      </c>
      <c r="O11" s="25">
        <v>1.04</v>
      </c>
      <c r="P11" s="21"/>
    </row>
    <row r="12" spans="1:21">
      <c r="A12" s="6" t="s">
        <v>7</v>
      </c>
      <c r="B12" s="9" t="s">
        <v>33</v>
      </c>
      <c r="C12" s="8" t="s">
        <v>26</v>
      </c>
      <c r="D12" s="20">
        <v>20026.011690399588</v>
      </c>
      <c r="E12" s="15">
        <v>20921.188870299735</v>
      </c>
      <c r="F12" s="15">
        <v>21856.879973010091</v>
      </c>
      <c r="G12" s="15">
        <v>22834.940897223787</v>
      </c>
      <c r="H12" s="15">
        <v>23857.313544670684</v>
      </c>
      <c r="I12" s="15">
        <v>24926.02984859336</v>
      </c>
      <c r="J12" s="15">
        <v>26043.215992779737</v>
      </c>
      <c r="K12" s="15">
        <v>27211.096830245704</v>
      </c>
      <c r="L12" s="15">
        <v>28432.000511098046</v>
      </c>
      <c r="M12" s="15">
        <v>29708.363329566604</v>
      </c>
      <c r="N12" s="15">
        <v>31042.734800675138</v>
      </c>
      <c r="O12" s="36">
        <v>32437.782977524308</v>
      </c>
      <c r="P12" s="21"/>
    </row>
    <row r="13" spans="1:21">
      <c r="A13" s="6" t="s">
        <v>9</v>
      </c>
      <c r="B13" s="9" t="s">
        <v>34</v>
      </c>
      <c r="C13" s="8" t="s">
        <v>26</v>
      </c>
      <c r="D13" s="20">
        <v>30175.33757940065</v>
      </c>
      <c r="E13" s="20">
        <v>34199.782431491942</v>
      </c>
      <c r="F13" s="20">
        <v>38541.9160047365</v>
      </c>
      <c r="G13" s="20">
        <v>43227.883562953808</v>
      </c>
      <c r="H13" s="20">
        <v>34290.39309120558</v>
      </c>
      <c r="I13" s="20">
        <v>38146.199962102794</v>
      </c>
      <c r="J13" s="20">
        <v>42258.409223250273</v>
      </c>
      <c r="K13" s="20">
        <v>46644.645871523579</v>
      </c>
      <c r="L13" s="20">
        <v>51323.809155281298</v>
      </c>
      <c r="M13" s="20">
        <v>56316.171344435148</v>
      </c>
      <c r="N13" s="20">
        <v>65223.951001664405</v>
      </c>
      <c r="O13" s="30">
        <v>6107.1884789054902</v>
      </c>
      <c r="P13" s="21"/>
    </row>
    <row r="14" spans="1:21">
      <c r="A14" s="6" t="s">
        <v>1</v>
      </c>
      <c r="B14" s="9" t="s">
        <v>35</v>
      </c>
      <c r="C14" s="8" t="s">
        <v>26</v>
      </c>
      <c r="D14" s="20">
        <v>122955.46190884203</v>
      </c>
      <c r="E14" s="20">
        <v>122955.46190884203</v>
      </c>
      <c r="F14" s="20">
        <v>122955.46190884203</v>
      </c>
      <c r="G14" s="20">
        <v>122955.46190884203</v>
      </c>
      <c r="H14" s="20">
        <v>122955.46190884203</v>
      </c>
      <c r="I14" s="20">
        <v>122955.46190884203</v>
      </c>
      <c r="J14" s="20">
        <v>122955.46190884203</v>
      </c>
      <c r="K14" s="20">
        <v>122955.46190884203</v>
      </c>
      <c r="L14" s="20">
        <v>122955.46190884203</v>
      </c>
      <c r="M14" s="20">
        <v>122955.46190884203</v>
      </c>
      <c r="N14" s="20">
        <v>108633.69720884203</v>
      </c>
      <c r="O14" s="30">
        <v>130681.39593136078</v>
      </c>
      <c r="P14" s="21"/>
      <c r="Q14" s="21"/>
      <c r="T14" t="s">
        <v>173</v>
      </c>
    </row>
    <row r="15" spans="1:21">
      <c r="A15" s="6" t="s">
        <v>2</v>
      </c>
      <c r="B15" s="9" t="s">
        <v>36</v>
      </c>
      <c r="C15" s="8" t="s">
        <v>26</v>
      </c>
      <c r="D15" s="20">
        <v>244373.06308739283</v>
      </c>
      <c r="E15" s="20">
        <v>243774.14538686443</v>
      </c>
      <c r="F15" s="20">
        <v>243137.19641235238</v>
      </c>
      <c r="G15" s="20">
        <v>242459.80117795896</v>
      </c>
      <c r="H15" s="20">
        <v>195082.82276455377</v>
      </c>
      <c r="I15" s="20">
        <v>194316.6669084584</v>
      </c>
      <c r="J15" s="20">
        <v>193501.860155501</v>
      </c>
      <c r="K15" s="20">
        <v>192635.31317373086</v>
      </c>
      <c r="L15" s="20">
        <v>191713.74045861815</v>
      </c>
      <c r="M15" s="20">
        <v>190733.64787609596</v>
      </c>
      <c r="N15" s="20">
        <v>204013.0841145835</v>
      </c>
      <c r="O15" s="30">
        <v>0</v>
      </c>
      <c r="P15" s="21"/>
      <c r="R15" s="21"/>
      <c r="T15">
        <v>2900935.8</v>
      </c>
      <c r="U15" t="s">
        <v>174</v>
      </c>
    </row>
    <row r="16" spans="1:21" hidden="1">
      <c r="A16" s="6" t="s">
        <v>37</v>
      </c>
      <c r="B16" s="9" t="s">
        <v>38</v>
      </c>
      <c r="C16" s="8" t="s">
        <v>6</v>
      </c>
      <c r="D16" s="23">
        <f t="shared" ref="D16:O16" si="2">D15/(D7-D15-D17)</f>
        <v>0.64923468902435777</v>
      </c>
      <c r="E16" s="23">
        <f t="shared" si="2"/>
        <v>0.62329351060099336</v>
      </c>
      <c r="F16" s="23">
        <f t="shared" si="2"/>
        <v>0.5978338971358389</v>
      </c>
      <c r="G16" s="23">
        <f t="shared" si="2"/>
        <v>0.53298702438169487</v>
      </c>
      <c r="H16" s="23">
        <f t="shared" si="2"/>
        <v>0.42465809342899524</v>
      </c>
      <c r="I16" s="23">
        <f t="shared" si="2"/>
        <v>0.40706755252956944</v>
      </c>
      <c r="J16" s="23">
        <f t="shared" si="2"/>
        <v>0.38987588490235203</v>
      </c>
      <c r="K16" s="23">
        <f t="shared" si="2"/>
        <v>0.37309031053693287</v>
      </c>
      <c r="L16" s="23">
        <f t="shared" si="2"/>
        <v>0.35671683108094904</v>
      </c>
      <c r="M16" s="23">
        <f t="shared" si="2"/>
        <v>0.34076025420675915</v>
      </c>
      <c r="N16" s="23">
        <f t="shared" si="2"/>
        <v>0.35633308194022956</v>
      </c>
      <c r="O16" s="237">
        <f t="shared" si="2"/>
        <v>0</v>
      </c>
      <c r="Q16" s="21"/>
      <c r="S16" s="21"/>
      <c r="T16">
        <v>1350342.5</v>
      </c>
      <c r="U16" t="s">
        <v>6</v>
      </c>
    </row>
    <row r="17" spans="1:23">
      <c r="A17" s="6" t="s">
        <v>39</v>
      </c>
      <c r="B17" s="7" t="s">
        <v>40</v>
      </c>
      <c r="C17" s="8" t="s">
        <v>26</v>
      </c>
      <c r="D17" s="20">
        <v>17572.606361154099</v>
      </c>
      <c r="E17" s="20">
        <v>18106.96689796172</v>
      </c>
      <c r="F17" s="20">
        <v>18669.738494636302</v>
      </c>
      <c r="G17" s="20">
        <v>20846.342850437853</v>
      </c>
      <c r="H17" s="20">
        <v>21517.628006010764</v>
      </c>
      <c r="I17" s="20">
        <v>22223.706505869508</v>
      </c>
      <c r="J17" s="20">
        <v>22966.47837675476</v>
      </c>
      <c r="K17" s="20">
        <v>23747.951422131624</v>
      </c>
      <c r="L17" s="20">
        <v>24570.247474850112</v>
      </c>
      <c r="M17" s="20">
        <v>25435.609017306117</v>
      </c>
      <c r="N17" s="20">
        <v>25630.962435277757</v>
      </c>
      <c r="O17" s="30">
        <v>27701.659195545904</v>
      </c>
      <c r="P17" s="157"/>
      <c r="T17">
        <f>T15+T16</f>
        <v>4251278.3</v>
      </c>
    </row>
    <row r="18" spans="1:23" ht="28.5">
      <c r="A18" s="11">
        <v>2</v>
      </c>
      <c r="B18" s="37" t="s">
        <v>58</v>
      </c>
      <c r="C18" s="13" t="s">
        <v>41</v>
      </c>
      <c r="D18" s="32">
        <v>1008.3145384615385</v>
      </c>
      <c r="E18" s="18">
        <f>[4]Тариф!I12/1000</f>
        <v>1008.3145384615385</v>
      </c>
      <c r="F18" s="18">
        <f>[4]Тариф!J12/1000</f>
        <v>1008.3145384615385</v>
      </c>
      <c r="G18" s="18">
        <f>[4]Тариф!K12/1000</f>
        <v>1008.3145384615385</v>
      </c>
      <c r="H18" s="18">
        <f>[4]Тариф!L12/1000</f>
        <v>1008.3145384615385</v>
      </c>
      <c r="I18" s="18">
        <f>[4]Тариф!M12/1000</f>
        <v>1008.3145384615385</v>
      </c>
      <c r="J18" s="18">
        <f>[4]Тариф!N12/1000</f>
        <v>1008.3145384615385</v>
      </c>
      <c r="K18" s="18">
        <f>[4]Тариф!O12/1000</f>
        <v>1008.3145384615385</v>
      </c>
      <c r="L18" s="18">
        <f>[4]Тариф!P12/1000</f>
        <v>1008.3145384615385</v>
      </c>
      <c r="M18" s="18">
        <f>[4]Тариф!Q12/1000</f>
        <v>1008.3145384615385</v>
      </c>
      <c r="N18" s="18">
        <f>[4]Тариф!R12/1000</f>
        <v>1008.3145384615385</v>
      </c>
      <c r="O18" s="26">
        <f>[4]Тариф!S12/1000</f>
        <v>1008.3145384615385</v>
      </c>
      <c r="T18">
        <v>2316831.92</v>
      </c>
      <c r="V18" s="154">
        <v>1601398.41</v>
      </c>
      <c r="W18" t="s">
        <v>175</v>
      </c>
    </row>
    <row r="19" spans="1:23">
      <c r="A19" s="11">
        <v>3</v>
      </c>
      <c r="B19" s="37" t="s">
        <v>57</v>
      </c>
      <c r="C19" s="13" t="s">
        <v>3</v>
      </c>
      <c r="D19" s="18">
        <v>131080.89000000001</v>
      </c>
      <c r="E19" s="18">
        <f>[4]Тариф!I11</f>
        <v>131080.89000000001</v>
      </c>
      <c r="F19" s="18">
        <f>[4]Тариф!J11</f>
        <v>131080.89000000001</v>
      </c>
      <c r="G19" s="18">
        <f>[4]Тариф!K11</f>
        <v>131080.89000000001</v>
      </c>
      <c r="H19" s="18">
        <f>[4]Тариф!L11</f>
        <v>131080.89000000001</v>
      </c>
      <c r="I19" s="18">
        <f>[4]Тариф!M11</f>
        <v>131080.89000000001</v>
      </c>
      <c r="J19" s="18">
        <f>[4]Тариф!N11</f>
        <v>131080.89000000001</v>
      </c>
      <c r="K19" s="18">
        <f>[4]Тариф!O11</f>
        <v>131080.89000000001</v>
      </c>
      <c r="L19" s="18">
        <f>[4]Тариф!P11</f>
        <v>131080.89000000001</v>
      </c>
      <c r="M19" s="18">
        <f>[4]Тариф!Q11</f>
        <v>131080.89000000001</v>
      </c>
      <c r="N19" s="18">
        <f>[4]Тариф!R11</f>
        <v>131080.89000000001</v>
      </c>
      <c r="O19" s="26">
        <f>[4]Тариф!S11</f>
        <v>131080.89000000001</v>
      </c>
      <c r="T19">
        <f>T17-T18</f>
        <v>1934446.38</v>
      </c>
      <c r="V19">
        <v>2649879.9075966235</v>
      </c>
      <c r="W19" t="s">
        <v>172</v>
      </c>
    </row>
    <row r="20" spans="1:23" ht="28.5">
      <c r="A20" s="11">
        <v>4</v>
      </c>
      <c r="B20" s="12" t="s">
        <v>60</v>
      </c>
      <c r="C20" s="13" t="s">
        <v>42</v>
      </c>
      <c r="D20" s="19">
        <f t="shared" ref="D20:O20" si="3">D7/D18</f>
        <v>633.08360602016103</v>
      </c>
      <c r="E20" s="19">
        <f t="shared" si="3"/>
        <v>647.60309462821044</v>
      </c>
      <c r="F20" s="19">
        <f t="shared" si="3"/>
        <v>662.99137387227745</v>
      </c>
      <c r="G20" s="19">
        <f t="shared" si="3"/>
        <v>712.29128274009406</v>
      </c>
      <c r="H20" s="19">
        <f t="shared" si="3"/>
        <v>670.4142434821531</v>
      </c>
      <c r="I20" s="19">
        <f t="shared" si="3"/>
        <v>688.17580702525265</v>
      </c>
      <c r="J20" s="19">
        <f t="shared" si="3"/>
        <v>706.90729610311291</v>
      </c>
      <c r="K20" s="19">
        <f t="shared" si="3"/>
        <v>726.66492992595897</v>
      </c>
      <c r="L20" s="19">
        <f t="shared" si="3"/>
        <v>747.50837125285705</v>
      </c>
      <c r="M20" s="19">
        <f t="shared" si="3"/>
        <v>769.50094984963175</v>
      </c>
      <c r="N20" s="19">
        <f t="shared" si="3"/>
        <v>795.56408242685654</v>
      </c>
      <c r="O20" s="34">
        <f t="shared" si="3"/>
        <v>577.71994693356419</v>
      </c>
      <c r="T20" s="21">
        <f>Q16-T19</f>
        <v>-1934446.38</v>
      </c>
      <c r="V20" s="154">
        <f>V18+V19</f>
        <v>4251278.3175966237</v>
      </c>
    </row>
    <row r="21" spans="1:23" ht="15.75" thickBot="1">
      <c r="A21" s="11">
        <v>5</v>
      </c>
      <c r="B21" s="12" t="s">
        <v>60</v>
      </c>
      <c r="C21" s="13" t="s">
        <v>43</v>
      </c>
      <c r="D21" s="19">
        <f t="shared" ref="D21:O21" si="4">D7/D19*1000</f>
        <v>4869.8738924627769</v>
      </c>
      <c r="E21" s="19">
        <f t="shared" si="4"/>
        <v>4981.5622663708491</v>
      </c>
      <c r="F21" s="19">
        <f t="shared" si="4"/>
        <v>5099.9336451713643</v>
      </c>
      <c r="G21" s="19">
        <f t="shared" si="4"/>
        <v>5479.1637133853392</v>
      </c>
      <c r="H21" s="19">
        <f t="shared" si="4"/>
        <v>5157.0326421704076</v>
      </c>
      <c r="I21" s="19">
        <f t="shared" si="4"/>
        <v>5293.6600540404052</v>
      </c>
      <c r="J21" s="19">
        <f t="shared" si="4"/>
        <v>5437.7484315624069</v>
      </c>
      <c r="K21" s="19">
        <f t="shared" si="4"/>
        <v>5589.7302301996833</v>
      </c>
      <c r="L21" s="19">
        <f t="shared" si="4"/>
        <v>5750.0643942527468</v>
      </c>
      <c r="M21" s="19">
        <f t="shared" si="4"/>
        <v>5919.2380757663977</v>
      </c>
      <c r="N21" s="19">
        <f t="shared" si="4"/>
        <v>6119.7237109758198</v>
      </c>
      <c r="O21" s="29">
        <f t="shared" si="4"/>
        <v>4443.9995917966471</v>
      </c>
    </row>
    <row r="22" spans="1:23" ht="15.75" thickBot="1"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</row>
    <row r="23" spans="1:23" ht="16.5" customHeight="1" thickBot="1">
      <c r="A23" s="248" t="s">
        <v>5</v>
      </c>
      <c r="B23" s="248" t="s">
        <v>10</v>
      </c>
      <c r="C23" s="242" t="s">
        <v>4</v>
      </c>
      <c r="D23" s="244" t="s">
        <v>11</v>
      </c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6"/>
    </row>
    <row r="24" spans="1:23" ht="16.5" thickBot="1">
      <c r="A24" s="248"/>
      <c r="B24" s="248"/>
      <c r="C24" s="243"/>
      <c r="D24" s="201">
        <v>2037</v>
      </c>
      <c r="E24" s="201">
        <v>2038</v>
      </c>
      <c r="F24" s="201">
        <v>2039</v>
      </c>
      <c r="G24" s="201">
        <v>2040</v>
      </c>
      <c r="H24" s="201">
        <v>2041</v>
      </c>
      <c r="I24" s="201">
        <v>2042</v>
      </c>
      <c r="J24" s="201">
        <v>2043</v>
      </c>
      <c r="K24" s="201">
        <v>2044</v>
      </c>
      <c r="L24" s="201">
        <v>2045</v>
      </c>
      <c r="M24" s="201">
        <v>2046</v>
      </c>
      <c r="N24" s="201">
        <v>2047</v>
      </c>
      <c r="O24" s="202"/>
    </row>
    <row r="25" spans="1:23" ht="16.5" thickBot="1">
      <c r="A25" s="2">
        <v>1</v>
      </c>
      <c r="B25" s="2">
        <v>2</v>
      </c>
      <c r="C25" s="1" t="s">
        <v>12</v>
      </c>
      <c r="D25" s="203" t="s">
        <v>45</v>
      </c>
      <c r="E25" s="203" t="s">
        <v>46</v>
      </c>
      <c r="F25" s="203" t="s">
        <v>47</v>
      </c>
      <c r="G25" s="203" t="s">
        <v>48</v>
      </c>
      <c r="H25" s="203" t="s">
        <v>49</v>
      </c>
      <c r="I25" s="203" t="s">
        <v>50</v>
      </c>
      <c r="J25" s="203" t="s">
        <v>51</v>
      </c>
      <c r="K25" s="203" t="s">
        <v>52</v>
      </c>
      <c r="L25" s="203" t="s">
        <v>53</v>
      </c>
      <c r="M25" s="203" t="s">
        <v>54</v>
      </c>
      <c r="N25" s="203" t="s">
        <v>55</v>
      </c>
      <c r="O25" s="203"/>
      <c r="Q25" s="21"/>
    </row>
    <row r="26" spans="1:23">
      <c r="A26" s="3" t="s">
        <v>24</v>
      </c>
      <c r="B26" s="4" t="s">
        <v>25</v>
      </c>
      <c r="C26" s="5" t="s">
        <v>26</v>
      </c>
      <c r="D26" s="14">
        <f t="shared" ref="D26:N26" si="5">D27+D33+D34+D36</f>
        <v>603711.98851062474</v>
      </c>
      <c r="E26" s="14">
        <f t="shared" si="5"/>
        <v>626021.71252771129</v>
      </c>
      <c r="F26" s="14">
        <f t="shared" si="5"/>
        <v>649514.74306048593</v>
      </c>
      <c r="G26" s="14">
        <f t="shared" si="5"/>
        <v>648734.86541526008</v>
      </c>
      <c r="H26" s="14">
        <f t="shared" si="5"/>
        <v>674818.38470990409</v>
      </c>
      <c r="I26" s="14">
        <f t="shared" si="5"/>
        <v>702293.84539316548</v>
      </c>
      <c r="J26" s="14">
        <f t="shared" si="5"/>
        <v>731238.92113975331</v>
      </c>
      <c r="K26" s="14">
        <f t="shared" si="5"/>
        <v>762454.89859862661</v>
      </c>
      <c r="L26" s="14">
        <f t="shared" si="5"/>
        <v>793871.19206456956</v>
      </c>
      <c r="M26" s="14">
        <f t="shared" si="5"/>
        <v>804607.86379499617</v>
      </c>
      <c r="N26" s="14">
        <f t="shared" si="5"/>
        <v>840322.25354219263</v>
      </c>
      <c r="O26" s="33"/>
      <c r="P26" s="21"/>
      <c r="Q26" s="21"/>
      <c r="R26" s="21"/>
    </row>
    <row r="27" spans="1:23">
      <c r="A27" s="6" t="s">
        <v>0</v>
      </c>
      <c r="B27" s="7" t="s">
        <v>27</v>
      </c>
      <c r="C27" s="8" t="s">
        <v>26</v>
      </c>
      <c r="D27" s="15">
        <f t="shared" ref="D27:N27" si="6">D28+D31+D32</f>
        <v>444319.95400951407</v>
      </c>
      <c r="E27" s="15">
        <f t="shared" si="6"/>
        <v>465567.31021626311</v>
      </c>
      <c r="F27" s="15">
        <f t="shared" si="6"/>
        <v>487941.62500938185</v>
      </c>
      <c r="G27" s="15">
        <f t="shared" si="6"/>
        <v>511527.37192821444</v>
      </c>
      <c r="H27" s="15">
        <f t="shared" si="6"/>
        <v>536368.81887549441</v>
      </c>
      <c r="I27" s="15">
        <f t="shared" si="6"/>
        <v>562535.92428812431</v>
      </c>
      <c r="J27" s="15">
        <f t="shared" si="6"/>
        <v>590102.66309439845</v>
      </c>
      <c r="K27" s="15">
        <f t="shared" si="6"/>
        <v>619866.41063879477</v>
      </c>
      <c r="L27" s="15">
        <f t="shared" si="6"/>
        <v>649752.44492755679</v>
      </c>
      <c r="M27" s="15">
        <f t="shared" si="6"/>
        <v>682025.54529810091</v>
      </c>
      <c r="N27" s="15">
        <f t="shared" si="6"/>
        <v>716039.24981924042</v>
      </c>
      <c r="O27" s="36"/>
      <c r="P27" s="21"/>
      <c r="Q27" s="21"/>
      <c r="R27" s="21"/>
    </row>
    <row r="28" spans="1:23">
      <c r="A28" s="6" t="s">
        <v>8</v>
      </c>
      <c r="B28" s="9" t="s">
        <v>28</v>
      </c>
      <c r="C28" s="8" t="s">
        <v>26</v>
      </c>
      <c r="D28" s="15">
        <v>404305.86347456864</v>
      </c>
      <c r="E28" s="15">
        <v>424017.28555345832</v>
      </c>
      <c r="F28" s="15">
        <v>444785.77605309</v>
      </c>
      <c r="G28" s="15">
        <v>466692.590266157</v>
      </c>
      <c r="H28" s="15">
        <v>489778.62798687484</v>
      </c>
      <c r="I28" s="15">
        <v>514110.32263068599</v>
      </c>
      <c r="J28" s="15">
        <v>539757.95980553457</v>
      </c>
      <c r="K28" s="15">
        <v>566795.90424494585</v>
      </c>
      <c r="L28" s="15">
        <v>595302.84022331028</v>
      </c>
      <c r="M28" s="15">
        <v>625381.86918681615</v>
      </c>
      <c r="N28" s="15">
        <v>657101.25080850197</v>
      </c>
      <c r="O28" s="36"/>
      <c r="P28" s="21"/>
      <c r="Q28" s="21"/>
      <c r="R28" s="31"/>
    </row>
    <row r="29" spans="1:23">
      <c r="A29" s="10" t="s">
        <v>29</v>
      </c>
      <c r="B29" s="9" t="s">
        <v>30</v>
      </c>
      <c r="C29" s="8" t="s">
        <v>6</v>
      </c>
      <c r="D29" s="16">
        <v>0.01</v>
      </c>
      <c r="E29" s="16">
        <v>0.01</v>
      </c>
      <c r="F29" s="16">
        <v>0.01</v>
      </c>
      <c r="G29" s="16">
        <v>0.01</v>
      </c>
      <c r="H29" s="16">
        <v>0.01</v>
      </c>
      <c r="I29" s="16">
        <v>0.01</v>
      </c>
      <c r="J29" s="16">
        <v>0.01</v>
      </c>
      <c r="K29" s="16">
        <v>0.01</v>
      </c>
      <c r="L29" s="16">
        <v>0.01</v>
      </c>
      <c r="M29" s="16">
        <v>0.01</v>
      </c>
      <c r="N29" s="16">
        <v>0.01</v>
      </c>
      <c r="O29" s="27"/>
      <c r="P29" s="21"/>
      <c r="R29" s="21"/>
    </row>
    <row r="30" spans="1:23">
      <c r="A30" s="10" t="s">
        <v>31</v>
      </c>
      <c r="B30" s="9" t="s">
        <v>32</v>
      </c>
      <c r="C30" s="8" t="s">
        <v>6</v>
      </c>
      <c r="D30" s="17">
        <v>1.04</v>
      </c>
      <c r="E30" s="17">
        <v>1.04</v>
      </c>
      <c r="F30" s="17">
        <v>1.04</v>
      </c>
      <c r="G30" s="17">
        <v>1.04</v>
      </c>
      <c r="H30" s="17">
        <v>1.04</v>
      </c>
      <c r="I30" s="17">
        <v>1.04</v>
      </c>
      <c r="J30" s="17">
        <v>1.04</v>
      </c>
      <c r="K30" s="17">
        <v>1.04</v>
      </c>
      <c r="L30" s="17">
        <v>1.04</v>
      </c>
      <c r="M30" s="17">
        <v>1.04</v>
      </c>
      <c r="N30" s="17">
        <v>1.04</v>
      </c>
      <c r="O30" s="25"/>
      <c r="P30" s="21"/>
      <c r="R30" s="35"/>
    </row>
    <row r="31" spans="1:23">
      <c r="A31" s="6" t="s">
        <v>7</v>
      </c>
      <c r="B31" s="9" t="s">
        <v>33</v>
      </c>
      <c r="C31" s="8" t="s">
        <v>26</v>
      </c>
      <c r="D31" s="15">
        <v>33896.300020688548</v>
      </c>
      <c r="E31" s="15">
        <v>35421.208031782524</v>
      </c>
      <c r="F31" s="15">
        <v>37015.565163833584</v>
      </c>
      <c r="G31" s="15">
        <v>38682.572021705666</v>
      </c>
      <c r="H31" s="15">
        <v>40425.578366458576</v>
      </c>
      <c r="I31" s="15">
        <v>42248.090138195839</v>
      </c>
      <c r="J31" s="15">
        <v>44153.776812656542</v>
      </c>
      <c r="K31" s="15">
        <v>46146.479107542305</v>
      </c>
      <c r="L31" s="15">
        <v>48230.217055342473</v>
      </c>
      <c r="M31" s="15">
        <v>50409.198460229585</v>
      </c>
      <c r="N31" s="15">
        <v>52687.827757445841</v>
      </c>
      <c r="O31" s="36"/>
      <c r="P31" s="21"/>
      <c r="Q31" s="21"/>
      <c r="R31" s="21"/>
    </row>
    <row r="32" spans="1:23">
      <c r="A32" s="6" t="s">
        <v>9</v>
      </c>
      <c r="B32" s="9" t="s">
        <v>34</v>
      </c>
      <c r="C32" s="8" t="s">
        <v>26</v>
      </c>
      <c r="D32" s="15">
        <v>6117.7905142568452</v>
      </c>
      <c r="E32" s="15">
        <v>6128.816631022255</v>
      </c>
      <c r="F32" s="15">
        <v>6140.28379245828</v>
      </c>
      <c r="G32" s="15">
        <v>6152.2096403517471</v>
      </c>
      <c r="H32" s="15">
        <v>6164.6125221609527</v>
      </c>
      <c r="I32" s="15">
        <v>6177.5115192425264</v>
      </c>
      <c r="J32" s="15">
        <v>6190.9264762073635</v>
      </c>
      <c r="K32" s="15">
        <v>6924.0272863065693</v>
      </c>
      <c r="L32" s="15">
        <v>6219.3876489039603</v>
      </c>
      <c r="M32" s="15">
        <v>6234.4776510552547</v>
      </c>
      <c r="N32" s="15">
        <v>6250.1712532926003</v>
      </c>
      <c r="O32" s="36"/>
      <c r="P32" s="21"/>
      <c r="Q32" s="21"/>
    </row>
    <row r="33" spans="1:19">
      <c r="A33" s="6" t="s">
        <v>1</v>
      </c>
      <c r="B33" s="9" t="s">
        <v>35</v>
      </c>
      <c r="C33" s="8" t="s">
        <v>26</v>
      </c>
      <c r="D33" s="20">
        <v>130681.39593136078</v>
      </c>
      <c r="E33" s="20">
        <v>130681.39593136078</v>
      </c>
      <c r="F33" s="20">
        <v>130681.39593136078</v>
      </c>
      <c r="G33" s="20">
        <v>106352.90839802742</v>
      </c>
      <c r="H33" s="20">
        <v>106352.90839802742</v>
      </c>
      <c r="I33" s="20">
        <v>106352.90839802742</v>
      </c>
      <c r="J33" s="20">
        <v>106352.90839802742</v>
      </c>
      <c r="K33" s="20">
        <v>106352.90839802742</v>
      </c>
      <c r="L33" s="20">
        <v>106352.90839802742</v>
      </c>
      <c r="M33" s="20">
        <v>84305.209675508682</v>
      </c>
      <c r="N33" s="20">
        <v>84305.209675508682</v>
      </c>
      <c r="O33" s="30"/>
      <c r="P33" s="21"/>
      <c r="Q33" s="21"/>
      <c r="R33" s="35"/>
      <c r="S33" s="22"/>
    </row>
    <row r="34" spans="1:19">
      <c r="A34" s="6" t="s">
        <v>2</v>
      </c>
      <c r="B34" s="9" t="s">
        <v>36</v>
      </c>
      <c r="C34" s="8" t="s">
        <v>26</v>
      </c>
      <c r="D34" s="15">
        <f>[4]Тариф!T102</f>
        <v>0</v>
      </c>
      <c r="E34" s="15">
        <f>[4]Тариф!U102</f>
        <v>0</v>
      </c>
      <c r="F34" s="15">
        <f>[4]Тариф!V102</f>
        <v>0</v>
      </c>
      <c r="G34" s="15">
        <f>[4]Тариф!W102</f>
        <v>0</v>
      </c>
      <c r="H34" s="15">
        <f>[4]Тариф!X102</f>
        <v>0</v>
      </c>
      <c r="I34" s="15">
        <f>[4]Тариф!Y102</f>
        <v>0</v>
      </c>
      <c r="J34" s="15">
        <f>[4]Тариф!Z102</f>
        <v>0</v>
      </c>
      <c r="K34" s="15">
        <f>[4]Тариф!AA102</f>
        <v>0</v>
      </c>
      <c r="L34" s="15">
        <f>[4]Тариф!AB102</f>
        <v>0</v>
      </c>
      <c r="M34" s="15">
        <f>[4]Тариф!AC102</f>
        <v>0</v>
      </c>
      <c r="N34" s="15">
        <f>[4]Тариф!AD102</f>
        <v>0</v>
      </c>
      <c r="O34" s="36"/>
      <c r="P34" s="21"/>
      <c r="Q34" s="21"/>
    </row>
    <row r="35" spans="1:19">
      <c r="A35" s="6" t="s">
        <v>37</v>
      </c>
      <c r="B35" s="9" t="s">
        <v>38</v>
      </c>
      <c r="C35" s="8" t="s">
        <v>6</v>
      </c>
      <c r="D35" s="16">
        <f t="shared" ref="D35:N35" si="7">D34/(D26-D34-D36)</f>
        <v>0</v>
      </c>
      <c r="E35" s="16">
        <f t="shared" si="7"/>
        <v>0</v>
      </c>
      <c r="F35" s="16">
        <f t="shared" si="7"/>
        <v>0</v>
      </c>
      <c r="G35" s="16">
        <f t="shared" si="7"/>
        <v>0</v>
      </c>
      <c r="H35" s="16">
        <f t="shared" si="7"/>
        <v>0</v>
      </c>
      <c r="I35" s="16">
        <f t="shared" si="7"/>
        <v>0</v>
      </c>
      <c r="J35" s="16">
        <f t="shared" si="7"/>
        <v>0</v>
      </c>
      <c r="K35" s="16">
        <f t="shared" si="7"/>
        <v>0</v>
      </c>
      <c r="L35" s="16">
        <f t="shared" si="7"/>
        <v>0</v>
      </c>
      <c r="M35" s="16">
        <f t="shared" si="7"/>
        <v>0</v>
      </c>
      <c r="N35" s="16">
        <f t="shared" si="7"/>
        <v>0</v>
      </c>
      <c r="O35" s="27"/>
    </row>
    <row r="36" spans="1:19">
      <c r="A36" s="6" t="s">
        <v>39</v>
      </c>
      <c r="B36" s="7" t="s">
        <v>40</v>
      </c>
      <c r="C36" s="8" t="s">
        <v>26</v>
      </c>
      <c r="D36" s="15">
        <v>28710.638569749881</v>
      </c>
      <c r="E36" s="15">
        <v>29773.006380087332</v>
      </c>
      <c r="F36" s="15">
        <v>30891.722119743274</v>
      </c>
      <c r="G36" s="15">
        <v>30854.585089018234</v>
      </c>
      <c r="H36" s="15">
        <v>32096.657436382229</v>
      </c>
      <c r="I36" s="15">
        <v>33405.012707013731</v>
      </c>
      <c r="J36" s="15">
        <v>34783.349647327435</v>
      </c>
      <c r="K36" s="15">
        <v>36235.579561804458</v>
      </c>
      <c r="L36" s="15">
        <v>37765.838738985352</v>
      </c>
      <c r="M36" s="15">
        <v>38277.108821386624</v>
      </c>
      <c r="N36" s="15">
        <v>39977.794047443596</v>
      </c>
      <c r="O36" s="36"/>
    </row>
    <row r="37" spans="1:19" ht="28.5">
      <c r="A37" s="11">
        <v>2</v>
      </c>
      <c r="B37" s="37" t="s">
        <v>58</v>
      </c>
      <c r="C37" s="13" t="s">
        <v>41</v>
      </c>
      <c r="D37" s="18">
        <f>[4]Тариф!T12/1000</f>
        <v>1008.3145384615385</v>
      </c>
      <c r="E37" s="18">
        <f>[4]Тариф!U12/1000</f>
        <v>1008.3145384615385</v>
      </c>
      <c r="F37" s="18">
        <f>[4]Тариф!V12/1000</f>
        <v>1008.3145384615385</v>
      </c>
      <c r="G37" s="18">
        <f>[4]Тариф!W12/1000</f>
        <v>1008.3145384615385</v>
      </c>
      <c r="H37" s="18">
        <f>[4]Тариф!X12/1000</f>
        <v>1008.3145384615385</v>
      </c>
      <c r="I37" s="18">
        <f>[4]Тариф!Y12/1000</f>
        <v>1008.3145384615385</v>
      </c>
      <c r="J37" s="18">
        <f>[4]Тариф!Z12/1000</f>
        <v>1008.3145384615385</v>
      </c>
      <c r="K37" s="18">
        <f>[4]Тариф!AA12/1000</f>
        <v>1008.3145384615385</v>
      </c>
      <c r="L37" s="18">
        <f>[4]Тариф!AB12/1000</f>
        <v>1008.3145384615385</v>
      </c>
      <c r="M37" s="18">
        <f>[4]Тариф!AC12/1000</f>
        <v>1008.3145384615385</v>
      </c>
      <c r="N37" s="18">
        <f>[4]Тариф!AD12/1000</f>
        <v>1008.3145384615385</v>
      </c>
      <c r="O37" s="26"/>
      <c r="P37" s="21"/>
      <c r="Q37" s="21"/>
    </row>
    <row r="38" spans="1:19">
      <c r="A38" s="11">
        <v>3</v>
      </c>
      <c r="B38" s="37" t="s">
        <v>57</v>
      </c>
      <c r="C38" s="13" t="s">
        <v>3</v>
      </c>
      <c r="D38" s="18">
        <f>[4]Тариф!T11</f>
        <v>131080.89000000001</v>
      </c>
      <c r="E38" s="18">
        <f>[4]Тариф!U11</f>
        <v>131080.89000000001</v>
      </c>
      <c r="F38" s="18">
        <f>[4]Тариф!V11</f>
        <v>131080.89000000001</v>
      </c>
      <c r="G38" s="18">
        <f>[4]Тариф!W11</f>
        <v>131080.89000000001</v>
      </c>
      <c r="H38" s="18">
        <f>[4]Тариф!X11</f>
        <v>131080.89000000001</v>
      </c>
      <c r="I38" s="18">
        <f>[4]Тариф!Y11</f>
        <v>131080.89000000001</v>
      </c>
      <c r="J38" s="18">
        <f>[4]Тариф!Z11</f>
        <v>131080.89000000001</v>
      </c>
      <c r="K38" s="18">
        <f>[4]Тариф!AA11</f>
        <v>131080.89000000001</v>
      </c>
      <c r="L38" s="18">
        <f>[4]Тариф!AB11</f>
        <v>131080.89000000001</v>
      </c>
      <c r="M38" s="18">
        <f>[4]Тариф!AC11</f>
        <v>131080.89000000001</v>
      </c>
      <c r="N38" s="18">
        <f>[4]Тариф!AD11</f>
        <v>131080.89000000001</v>
      </c>
      <c r="O38" s="26"/>
      <c r="Q38" s="28"/>
    </row>
    <row r="39" spans="1:19" ht="28.5">
      <c r="A39" s="11">
        <v>4</v>
      </c>
      <c r="B39" s="12" t="s">
        <v>60</v>
      </c>
      <c r="C39" s="13" t="s">
        <v>42</v>
      </c>
      <c r="D39" s="19">
        <f t="shared" ref="D39:N39" si="8">D26/D37</f>
        <v>598.73379335753066</v>
      </c>
      <c r="E39" s="19">
        <f t="shared" si="8"/>
        <v>620.85955190419031</v>
      </c>
      <c r="F39" s="19">
        <f t="shared" si="8"/>
        <v>644.15885944826255</v>
      </c>
      <c r="G39" s="19">
        <f t="shared" si="8"/>
        <v>643.38541265613776</v>
      </c>
      <c r="H39" s="19">
        <f t="shared" si="8"/>
        <v>669.25384785141091</v>
      </c>
      <c r="I39" s="19">
        <f t="shared" si="8"/>
        <v>696.5027465186688</v>
      </c>
      <c r="J39" s="19">
        <f t="shared" si="8"/>
        <v>725.2091418372878</v>
      </c>
      <c r="K39" s="19">
        <f t="shared" si="8"/>
        <v>756.16771306497424</v>
      </c>
      <c r="L39" s="19">
        <f t="shared" si="8"/>
        <v>787.32494849854959</v>
      </c>
      <c r="M39" s="19">
        <f t="shared" si="8"/>
        <v>797.97308588116459</v>
      </c>
      <c r="N39" s="19">
        <f t="shared" si="8"/>
        <v>833.39297559304816</v>
      </c>
      <c r="O39" s="34"/>
      <c r="P39" s="21"/>
    </row>
    <row r="40" spans="1:19" ht="15.75" thickBot="1">
      <c r="A40" s="11">
        <v>5</v>
      </c>
      <c r="B40" s="12" t="s">
        <v>60</v>
      </c>
      <c r="C40" s="13" t="s">
        <v>43</v>
      </c>
      <c r="D40" s="19">
        <f t="shared" ref="D40:N40" si="9">D26/D38*1000</f>
        <v>4605.6445642886974</v>
      </c>
      <c r="E40" s="19">
        <f t="shared" si="9"/>
        <v>4775.8427069553099</v>
      </c>
      <c r="F40" s="19">
        <f t="shared" si="9"/>
        <v>4955.0681496020197</v>
      </c>
      <c r="G40" s="19">
        <f t="shared" si="9"/>
        <v>4949.1185588933677</v>
      </c>
      <c r="H40" s="19">
        <f t="shared" si="9"/>
        <v>5148.1065219339289</v>
      </c>
      <c r="I40" s="19">
        <f t="shared" si="9"/>
        <v>5357.7134347589899</v>
      </c>
      <c r="J40" s="19">
        <f t="shared" si="9"/>
        <v>5578.5318602868292</v>
      </c>
      <c r="K40" s="19">
        <f t="shared" si="9"/>
        <v>5816.6747158844173</v>
      </c>
      <c r="L40" s="19">
        <f t="shared" si="9"/>
        <v>6056.3457576811497</v>
      </c>
      <c r="M40" s="19">
        <f t="shared" si="9"/>
        <v>6138.2545067781894</v>
      </c>
      <c r="N40" s="19">
        <f t="shared" si="9"/>
        <v>6410.7151968696016</v>
      </c>
      <c r="O40" s="29"/>
    </row>
  </sheetData>
  <mergeCells count="10">
    <mergeCell ref="L1:N1"/>
    <mergeCell ref="C23:C24"/>
    <mergeCell ref="D23:O23"/>
    <mergeCell ref="A2:N2"/>
    <mergeCell ref="A4:A5"/>
    <mergeCell ref="B4:B5"/>
    <mergeCell ref="A23:A24"/>
    <mergeCell ref="B23:B24"/>
    <mergeCell ref="D4:O4"/>
    <mergeCell ref="C4:C5"/>
  </mergeCells>
  <pageMargins left="0.11811023622047245" right="0.11811023622047245" top="0" bottom="0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15"/>
  <sheetViews>
    <sheetView tabSelected="1" topLeftCell="A16" zoomScaleNormal="100" workbookViewId="0">
      <selection activeCell="P13" sqref="P13"/>
    </sheetView>
  </sheetViews>
  <sheetFormatPr defaultRowHeight="15"/>
  <cols>
    <col min="1" max="1" width="10.140625" bestFit="1" customWidth="1"/>
    <col min="2" max="2" width="58.42578125" customWidth="1"/>
    <col min="3" max="3" width="10.7109375" customWidth="1"/>
    <col min="4" max="4" width="12.28515625" customWidth="1"/>
    <col min="5" max="5" width="14" customWidth="1"/>
    <col min="6" max="6" width="12.5703125" customWidth="1"/>
    <col min="7" max="7" width="13.140625" customWidth="1"/>
    <col min="8" max="8" width="12.140625" customWidth="1"/>
    <col min="9" max="9" width="11.5703125" customWidth="1"/>
    <col min="10" max="10" width="12" customWidth="1"/>
    <col min="11" max="11" width="11.5703125" customWidth="1"/>
    <col min="12" max="12" width="12.42578125" customWidth="1"/>
    <col min="13" max="13" width="12.85546875" customWidth="1"/>
    <col min="14" max="14" width="13.140625" customWidth="1"/>
    <col min="15" max="15" width="11.85546875" customWidth="1"/>
    <col min="16" max="16" width="14.140625" customWidth="1"/>
    <col min="17" max="17" width="13.7109375" customWidth="1"/>
    <col min="18" max="19" width="12.140625" customWidth="1"/>
    <col min="20" max="20" width="12.28515625" customWidth="1"/>
    <col min="21" max="21" width="11.7109375" customWidth="1"/>
    <col min="22" max="22" width="12.140625" customWidth="1"/>
    <col min="23" max="23" width="12.28515625" customWidth="1"/>
    <col min="24" max="24" width="11.85546875" customWidth="1"/>
    <col min="25" max="25" width="12.140625" customWidth="1"/>
    <col min="26" max="26" width="11.85546875" customWidth="1"/>
    <col min="27" max="27" width="14.140625" customWidth="1"/>
    <col min="28" max="28" width="13.85546875" customWidth="1"/>
    <col min="29" max="29" width="14.5703125" customWidth="1"/>
  </cols>
  <sheetData>
    <row r="1" spans="1:29" ht="19.5" customHeight="1">
      <c r="B1" s="149"/>
      <c r="C1" s="219"/>
      <c r="D1" s="21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253" t="s">
        <v>169</v>
      </c>
      <c r="Q1" s="253"/>
    </row>
    <row r="2" spans="1:29" ht="15.75">
      <c r="B2" s="252" t="s">
        <v>168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29">
      <c r="E3" s="35"/>
    </row>
    <row r="4" spans="1:29" ht="15.75">
      <c r="A4" s="38" t="s">
        <v>128</v>
      </c>
      <c r="B4" s="124" t="s">
        <v>129</v>
      </c>
      <c r="C4" s="40" t="s">
        <v>130</v>
      </c>
      <c r="D4" s="40">
        <v>2023</v>
      </c>
      <c r="E4" s="40">
        <v>2024</v>
      </c>
      <c r="F4" s="39">
        <v>2025</v>
      </c>
      <c r="G4" s="39">
        <f t="shared" ref="G4:AB4" si="0">F4+1</f>
        <v>2026</v>
      </c>
      <c r="H4" s="39">
        <f t="shared" si="0"/>
        <v>2027</v>
      </c>
      <c r="I4" s="39">
        <f t="shared" si="0"/>
        <v>2028</v>
      </c>
      <c r="J4" s="39">
        <f t="shared" si="0"/>
        <v>2029</v>
      </c>
      <c r="K4" s="39">
        <f t="shared" si="0"/>
        <v>2030</v>
      </c>
      <c r="L4" s="39">
        <f t="shared" si="0"/>
        <v>2031</v>
      </c>
      <c r="M4" s="39">
        <f t="shared" si="0"/>
        <v>2032</v>
      </c>
      <c r="N4" s="39">
        <f t="shared" si="0"/>
        <v>2033</v>
      </c>
      <c r="O4" s="39">
        <f t="shared" si="0"/>
        <v>2034</v>
      </c>
      <c r="P4" s="39">
        <f t="shared" si="0"/>
        <v>2035</v>
      </c>
      <c r="Q4" s="39">
        <f t="shared" si="0"/>
        <v>2036</v>
      </c>
      <c r="R4" s="39">
        <f t="shared" si="0"/>
        <v>2037</v>
      </c>
      <c r="S4" s="39">
        <f t="shared" si="0"/>
        <v>2038</v>
      </c>
      <c r="T4" s="39">
        <f t="shared" si="0"/>
        <v>2039</v>
      </c>
      <c r="U4" s="39">
        <f t="shared" si="0"/>
        <v>2040</v>
      </c>
      <c r="V4" s="39">
        <f t="shared" si="0"/>
        <v>2041</v>
      </c>
      <c r="W4" s="39">
        <f t="shared" si="0"/>
        <v>2042</v>
      </c>
      <c r="X4" s="39">
        <f t="shared" si="0"/>
        <v>2043</v>
      </c>
      <c r="Y4" s="39">
        <f t="shared" si="0"/>
        <v>2044</v>
      </c>
      <c r="Z4" s="39">
        <f t="shared" si="0"/>
        <v>2045</v>
      </c>
      <c r="AA4" s="39">
        <f t="shared" si="0"/>
        <v>2046</v>
      </c>
      <c r="AB4" s="39">
        <f t="shared" si="0"/>
        <v>2047</v>
      </c>
      <c r="AC4" s="39" t="s">
        <v>185</v>
      </c>
    </row>
    <row r="5" spans="1:29" ht="15.75">
      <c r="A5" s="49" t="s">
        <v>143</v>
      </c>
      <c r="B5" s="125" t="s">
        <v>141</v>
      </c>
      <c r="C5" s="50" t="s">
        <v>26</v>
      </c>
      <c r="D5" s="88">
        <f>D6+D15</f>
        <v>89632.764547039682</v>
      </c>
      <c r="E5" s="88">
        <f t="shared" ref="E5:N5" si="1">E6+E15</f>
        <v>2711197.0587293864</v>
      </c>
      <c r="F5" s="88">
        <f t="shared" si="1"/>
        <v>638347.40401178517</v>
      </c>
      <c r="G5" s="88">
        <f t="shared" si="1"/>
        <v>652987.61546630797</v>
      </c>
      <c r="H5" s="88">
        <f t="shared" si="1"/>
        <v>668503.84115000663</v>
      </c>
      <c r="I5" s="88">
        <f t="shared" si="1"/>
        <v>718213.6560062553</v>
      </c>
      <c r="J5" s="88">
        <f t="shared" si="1"/>
        <v>675988.42849474854</v>
      </c>
      <c r="K5" s="88">
        <f t="shared" si="1"/>
        <v>693897.67124106444</v>
      </c>
      <c r="L5" s="88">
        <f t="shared" si="1"/>
        <v>712784.90400530444</v>
      </c>
      <c r="M5" s="88">
        <f t="shared" si="1"/>
        <v>732706.81343447953</v>
      </c>
      <c r="N5" s="88">
        <f t="shared" si="1"/>
        <v>753723.55835596099</v>
      </c>
      <c r="O5" s="88">
        <f>O6+O15</f>
        <v>775898.99509334692</v>
      </c>
      <c r="P5" s="88">
        <f t="shared" ref="P5" si="2">P6+P15</f>
        <v>1022655.8180888133</v>
      </c>
      <c r="Q5" s="88">
        <f t="shared" ref="Q5" si="3">Q6+Q15</f>
        <v>582523.42165234126</v>
      </c>
      <c r="R5" s="88">
        <f t="shared" ref="R5" si="4">R6+R15</f>
        <v>603711.98851062474</v>
      </c>
      <c r="S5" s="88">
        <f t="shared" ref="S5" si="5">S6+S15</f>
        <v>626021.71252771129</v>
      </c>
      <c r="T5" s="88">
        <f t="shared" ref="T5" si="6">T6+T15</f>
        <v>649514.74306048593</v>
      </c>
      <c r="U5" s="88">
        <f t="shared" ref="U5" si="7">U6+U15</f>
        <v>648734.86541526008</v>
      </c>
      <c r="V5" s="88">
        <f t="shared" ref="V5" si="8">V6+V15</f>
        <v>674818.38470990397</v>
      </c>
      <c r="W5" s="88">
        <f t="shared" ref="W5" si="9">W6+W15</f>
        <v>702293.84539316548</v>
      </c>
      <c r="X5" s="88">
        <f t="shared" ref="X5" si="10">X6+X15</f>
        <v>731238.92113975331</v>
      </c>
      <c r="Y5" s="88">
        <f t="shared" ref="Y5" si="11">Y6+Y15</f>
        <v>762454.89859862661</v>
      </c>
      <c r="Z5" s="88">
        <f t="shared" ref="Z5" si="12">Z6+Z15</f>
        <v>793871.19206456945</v>
      </c>
      <c r="AA5" s="88">
        <f t="shared" ref="AA5:AC5" si="13">AA6+AA15</f>
        <v>804607.86379499617</v>
      </c>
      <c r="AB5" s="88">
        <f t="shared" si="13"/>
        <v>840322.25354219275</v>
      </c>
      <c r="AC5" s="88">
        <f t="shared" si="13"/>
        <v>19266652.61903413</v>
      </c>
    </row>
    <row r="6" spans="1:29" ht="15.75">
      <c r="A6" s="68" t="s">
        <v>0</v>
      </c>
      <c r="B6" s="126" t="s">
        <v>140</v>
      </c>
      <c r="C6" s="70" t="s">
        <v>26</v>
      </c>
      <c r="D6" s="89">
        <f>D7+D8</f>
        <v>89632.764547039682</v>
      </c>
      <c r="E6" s="89">
        <f>E7+E8+E14</f>
        <v>2711197.0587293864</v>
      </c>
      <c r="F6" s="85"/>
      <c r="G6" s="84"/>
      <c r="H6" s="84"/>
      <c r="I6" s="84"/>
      <c r="J6" s="84"/>
      <c r="K6" s="84"/>
      <c r="L6" s="84"/>
      <c r="M6" s="84"/>
      <c r="N6" s="84"/>
      <c r="O6" s="84"/>
      <c r="P6" s="89">
        <f>P7+P8</f>
        <v>220476.98750000002</v>
      </c>
      <c r="Q6" s="84"/>
      <c r="R6" s="84"/>
      <c r="S6" s="86"/>
      <c r="T6" s="86"/>
      <c r="U6" s="86"/>
      <c r="V6" s="86"/>
      <c r="W6" s="86"/>
      <c r="X6" s="86"/>
      <c r="Y6" s="86"/>
      <c r="Z6" s="86"/>
      <c r="AA6" s="86"/>
      <c r="AB6" s="86"/>
      <c r="AC6" s="89">
        <f>SUM(D6:AB6)</f>
        <v>3021306.810776426</v>
      </c>
    </row>
    <row r="7" spans="1:29" s="69" customFormat="1" ht="15.75">
      <c r="A7" s="204" t="s">
        <v>8</v>
      </c>
      <c r="B7" s="127" t="s">
        <v>179</v>
      </c>
      <c r="C7" s="48"/>
      <c r="D7" s="206"/>
      <c r="E7" s="210">
        <v>2265160</v>
      </c>
      <c r="F7" s="207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153">
        <f t="shared" ref="AC7:AC71" si="14">SUM(D7:AB7)</f>
        <v>2265160</v>
      </c>
    </row>
    <row r="8" spans="1:29" s="69" customFormat="1" ht="15.75">
      <c r="A8" s="204" t="s">
        <v>7</v>
      </c>
      <c r="B8" s="205" t="s">
        <v>180</v>
      </c>
      <c r="C8" s="48"/>
      <c r="D8" s="210">
        <f>D9+D10+D11+D13</f>
        <v>89632.764547039682</v>
      </c>
      <c r="E8" s="210">
        <f>E9+E10+E11+E12+E13</f>
        <v>346201.05872938625</v>
      </c>
      <c r="F8" s="207"/>
      <c r="G8" s="208"/>
      <c r="H8" s="208"/>
      <c r="I8" s="208"/>
      <c r="J8" s="208"/>
      <c r="K8" s="208"/>
      <c r="L8" s="208"/>
      <c r="M8" s="208"/>
      <c r="N8" s="208"/>
      <c r="O8" s="208"/>
      <c r="P8" s="153">
        <f>P9+P10+P11+P12</f>
        <v>220476.98750000002</v>
      </c>
      <c r="Q8" s="208"/>
      <c r="R8" s="208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153">
        <f t="shared" si="14"/>
        <v>656310.81077642599</v>
      </c>
    </row>
    <row r="9" spans="1:29" s="69" customFormat="1" ht="15.75">
      <c r="A9" s="204"/>
      <c r="B9" s="211" t="s">
        <v>181</v>
      </c>
      <c r="C9" s="48"/>
      <c r="D9" s="210">
        <v>85094.81</v>
      </c>
      <c r="E9" s="210">
        <v>53528.33</v>
      </c>
      <c r="F9" s="207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153">
        <f t="shared" si="14"/>
        <v>138623.14000000001</v>
      </c>
    </row>
    <row r="10" spans="1:29">
      <c r="A10" s="43"/>
      <c r="B10" s="212" t="s">
        <v>182</v>
      </c>
      <c r="C10" s="43"/>
      <c r="D10" s="153"/>
      <c r="E10" s="153">
        <v>143217.647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153">
        <f t="shared" si="14"/>
        <v>143217.647</v>
      </c>
    </row>
    <row r="11" spans="1:29">
      <c r="A11" s="43"/>
      <c r="B11" s="212" t="s">
        <v>183</v>
      </c>
      <c r="C11" s="43"/>
      <c r="D11" s="153"/>
      <c r="E11" s="153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153">
        <f>264572.385/1.2</f>
        <v>220476.98750000002</v>
      </c>
      <c r="Q11" s="71"/>
      <c r="R11" s="71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153">
        <f t="shared" si="14"/>
        <v>220476.98750000002</v>
      </c>
    </row>
    <row r="12" spans="1:29" ht="15.75">
      <c r="A12" s="204"/>
      <c r="B12" s="212" t="s">
        <v>195</v>
      </c>
      <c r="C12" s="43"/>
      <c r="E12" s="153">
        <f>E24</f>
        <v>143837.66</v>
      </c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153">
        <f t="shared" si="14"/>
        <v>143837.66</v>
      </c>
    </row>
    <row r="13" spans="1:29" ht="15.75">
      <c r="A13" s="204"/>
      <c r="B13" s="212" t="s">
        <v>184</v>
      </c>
      <c r="C13" s="43"/>
      <c r="D13" s="153">
        <f>D25</f>
        <v>4537.954547039687</v>
      </c>
      <c r="E13" s="153">
        <f>E25</f>
        <v>5617.4217293862494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153"/>
    </row>
    <row r="14" spans="1:29" ht="15.75">
      <c r="A14" s="204" t="s">
        <v>9</v>
      </c>
      <c r="B14" s="128" t="s">
        <v>142</v>
      </c>
      <c r="C14" s="43"/>
      <c r="D14" s="73"/>
      <c r="E14" s="73">
        <f>44371.56+55464.44</f>
        <v>99836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153">
        <f t="shared" si="14"/>
        <v>99836</v>
      </c>
    </row>
    <row r="15" spans="1:29" s="69" customFormat="1" ht="15.75">
      <c r="A15" s="68" t="s">
        <v>1</v>
      </c>
      <c r="B15" s="214" t="s">
        <v>138</v>
      </c>
      <c r="C15" s="41" t="s">
        <v>26</v>
      </c>
      <c r="D15" s="74"/>
      <c r="E15" s="74"/>
      <c r="F15" s="101">
        <f>F16*F17/1000</f>
        <v>638347.40401178517</v>
      </c>
      <c r="G15" s="101">
        <f t="shared" ref="G15:J15" si="15">G16*G17/1000</f>
        <v>652987.61546630797</v>
      </c>
      <c r="H15" s="101">
        <f t="shared" si="15"/>
        <v>668503.84115000663</v>
      </c>
      <c r="I15" s="101">
        <f t="shared" si="15"/>
        <v>718213.6560062553</v>
      </c>
      <c r="J15" s="101">
        <f t="shared" si="15"/>
        <v>675988.42849474854</v>
      </c>
      <c r="K15" s="101">
        <f t="shared" ref="K15" si="16">K16*K17/1000</f>
        <v>693897.67124106444</v>
      </c>
      <c r="L15" s="101">
        <f t="shared" ref="L15" si="17">L16*L17/1000</f>
        <v>712784.90400530444</v>
      </c>
      <c r="M15" s="101">
        <f t="shared" ref="M15" si="18">M16*M17/1000</f>
        <v>732706.81343447953</v>
      </c>
      <c r="N15" s="101">
        <f t="shared" ref="N15" si="19">N16*N17/1000</f>
        <v>753723.55835596099</v>
      </c>
      <c r="O15" s="101">
        <f t="shared" ref="O15" si="20">O16*O17/1000</f>
        <v>775898.99509334692</v>
      </c>
      <c r="P15" s="101">
        <f t="shared" ref="P15" si="21">P16*P17/1000</f>
        <v>802178.83058881329</v>
      </c>
      <c r="Q15" s="101">
        <f t="shared" ref="Q15" si="22">Q16*Q17/1000</f>
        <v>582523.42165234126</v>
      </c>
      <c r="R15" s="101">
        <f t="shared" ref="R15" si="23">R16*R17/1000</f>
        <v>603711.98851062474</v>
      </c>
      <c r="S15" s="101">
        <f t="shared" ref="S15" si="24">S16*S17/1000</f>
        <v>626021.71252771129</v>
      </c>
      <c r="T15" s="101">
        <f t="shared" ref="T15" si="25">T16*T17/1000</f>
        <v>649514.74306048593</v>
      </c>
      <c r="U15" s="101">
        <f t="shared" ref="U15" si="26">U16*U17/1000</f>
        <v>648734.86541526008</v>
      </c>
      <c r="V15" s="101">
        <f t="shared" ref="V15" si="27">V16*V17/1000</f>
        <v>674818.38470990397</v>
      </c>
      <c r="W15" s="101">
        <f t="shared" ref="W15" si="28">W16*W17/1000</f>
        <v>702293.84539316548</v>
      </c>
      <c r="X15" s="101">
        <f t="shared" ref="X15" si="29">X16*X17/1000</f>
        <v>731238.92113975331</v>
      </c>
      <c r="Y15" s="101">
        <f t="shared" ref="Y15" si="30">Y16*Y17/1000</f>
        <v>762454.89859862661</v>
      </c>
      <c r="Z15" s="101">
        <f t="shared" ref="Z15" si="31">Z16*Z17/1000</f>
        <v>793871.19206456945</v>
      </c>
      <c r="AA15" s="101">
        <f t="shared" ref="AA15:AB15" si="32">AA16*AA17/1000</f>
        <v>804607.86379499617</v>
      </c>
      <c r="AB15" s="101">
        <f t="shared" si="32"/>
        <v>840322.25354219275</v>
      </c>
      <c r="AC15" s="101">
        <f t="shared" si="14"/>
        <v>16245345.808257703</v>
      </c>
    </row>
    <row r="16" spans="1:29" ht="15.75">
      <c r="A16" s="43"/>
      <c r="B16" s="128" t="s">
        <v>131</v>
      </c>
      <c r="C16" s="47" t="s">
        <v>3</v>
      </c>
      <c r="D16" s="43"/>
      <c r="E16" s="43"/>
      <c r="F16" s="75">
        <v>131080.89000000001</v>
      </c>
      <c r="G16" s="75">
        <v>131080.89000000001</v>
      </c>
      <c r="H16" s="75">
        <v>131080.89000000001</v>
      </c>
      <c r="I16" s="75">
        <v>131080.89000000001</v>
      </c>
      <c r="J16" s="75">
        <v>131080.89000000001</v>
      </c>
      <c r="K16" s="75">
        <v>131080.89000000001</v>
      </c>
      <c r="L16" s="75">
        <v>131080.89000000001</v>
      </c>
      <c r="M16" s="75">
        <v>131080.89000000001</v>
      </c>
      <c r="N16" s="75">
        <v>131080.89000000001</v>
      </c>
      <c r="O16" s="75">
        <v>131080.89000000001</v>
      </c>
      <c r="P16" s="75">
        <v>131080.89000000001</v>
      </c>
      <c r="Q16" s="75">
        <v>131080.89000000001</v>
      </c>
      <c r="R16" s="75">
        <v>131080.89000000001</v>
      </c>
      <c r="S16" s="45">
        <v>131080.89000000001</v>
      </c>
      <c r="T16" s="45">
        <v>131080.89000000001</v>
      </c>
      <c r="U16" s="45">
        <v>131080.89000000001</v>
      </c>
      <c r="V16" s="45">
        <v>131080.89000000001</v>
      </c>
      <c r="W16" s="45">
        <v>131080.89000000001</v>
      </c>
      <c r="X16" s="45">
        <v>131080.89000000001</v>
      </c>
      <c r="Y16" s="45">
        <v>131080.89000000001</v>
      </c>
      <c r="Z16" s="45">
        <v>131080.89000000001</v>
      </c>
      <c r="AA16" s="45">
        <v>131080.89000000001</v>
      </c>
      <c r="AB16" s="45">
        <v>131080.89000000001</v>
      </c>
      <c r="AC16" s="153">
        <f t="shared" si="14"/>
        <v>3014860.4700000021</v>
      </c>
    </row>
    <row r="17" spans="1:29">
      <c r="A17" s="43"/>
      <c r="B17" s="46" t="s">
        <v>60</v>
      </c>
      <c r="C17" s="47" t="s">
        <v>43</v>
      </c>
      <c r="D17" s="47"/>
      <c r="E17" s="47"/>
      <c r="F17" s="73">
        <f>'Расчет тарифа'!D21</f>
        <v>4869.8738924627769</v>
      </c>
      <c r="G17" s="73">
        <f>'Расчет тарифа'!E21</f>
        <v>4981.5622663708491</v>
      </c>
      <c r="H17" s="73">
        <f>'Расчет тарифа'!F21</f>
        <v>5099.9336451713643</v>
      </c>
      <c r="I17" s="73">
        <f>'Расчет тарифа'!G21</f>
        <v>5479.1637133853392</v>
      </c>
      <c r="J17" s="73">
        <f>'Расчет тарифа'!H21</f>
        <v>5157.0326421704076</v>
      </c>
      <c r="K17" s="73">
        <f>'Расчет тарифа'!I21</f>
        <v>5293.6600540404052</v>
      </c>
      <c r="L17" s="73">
        <f>'Расчет тарифа'!J21</f>
        <v>5437.7484315624069</v>
      </c>
      <c r="M17" s="73">
        <f>'Расчет тарифа'!K21</f>
        <v>5589.7302301996833</v>
      </c>
      <c r="N17" s="73">
        <f>'Расчет тарифа'!L21</f>
        <v>5750.0643942527468</v>
      </c>
      <c r="O17" s="73">
        <f>'Расчет тарифа'!M21</f>
        <v>5919.2380757663977</v>
      </c>
      <c r="P17" s="73">
        <f>'Расчет тарифа'!N21</f>
        <v>6119.7237109758198</v>
      </c>
      <c r="Q17" s="73">
        <f>'Расчет тарифа'!O21</f>
        <v>4443.9995917966471</v>
      </c>
      <c r="R17" s="72">
        <f>'Расчет тарифа'!D40</f>
        <v>4605.6445642886974</v>
      </c>
      <c r="S17" s="72">
        <f>'Расчет тарифа'!E40</f>
        <v>4775.8427069553099</v>
      </c>
      <c r="T17" s="72">
        <f>'Расчет тарифа'!F40</f>
        <v>4955.0681496020197</v>
      </c>
      <c r="U17" s="72">
        <f>'Расчет тарифа'!G40</f>
        <v>4949.1185588933677</v>
      </c>
      <c r="V17" s="72">
        <f>'Расчет тарифа'!H40</f>
        <v>5148.1065219339289</v>
      </c>
      <c r="W17" s="72">
        <f>'Расчет тарифа'!I40</f>
        <v>5357.7134347589899</v>
      </c>
      <c r="X17" s="72">
        <f>'Расчет тарифа'!J40</f>
        <v>5578.5318602868292</v>
      </c>
      <c r="Y17" s="72">
        <f>'Расчет тарифа'!K40</f>
        <v>5816.6747158844173</v>
      </c>
      <c r="Z17" s="72">
        <f>'Расчет тарифа'!L40</f>
        <v>6056.3457576811497</v>
      </c>
      <c r="AA17" s="72">
        <f>'Расчет тарифа'!M40</f>
        <v>6138.2545067781894</v>
      </c>
      <c r="AB17" s="72">
        <f>'Расчет тарифа'!N40</f>
        <v>6410.7151968696016</v>
      </c>
      <c r="AC17" s="153">
        <f t="shared" si="14"/>
        <v>123933.74662208736</v>
      </c>
    </row>
    <row r="18" spans="1:29" ht="15.75">
      <c r="A18" s="49" t="s">
        <v>133</v>
      </c>
      <c r="B18" s="125" t="s">
        <v>144</v>
      </c>
      <c r="C18" s="50" t="s">
        <v>26</v>
      </c>
      <c r="D18" s="99">
        <f>D19+D25</f>
        <v>89632.764547039682</v>
      </c>
      <c r="E18" s="99">
        <f>E19+E25</f>
        <v>2711197.0587293864</v>
      </c>
      <c r="F18" s="99">
        <f t="shared" ref="F18:AB18" si="33">F19+F25</f>
        <v>638347.40401178517</v>
      </c>
      <c r="G18" s="99">
        <f t="shared" si="33"/>
        <v>652987.61546630808</v>
      </c>
      <c r="H18" s="99">
        <f t="shared" si="33"/>
        <v>668503.84115000675</v>
      </c>
      <c r="I18" s="99">
        <f t="shared" si="33"/>
        <v>718213.65600625519</v>
      </c>
      <c r="J18" s="99">
        <f t="shared" si="33"/>
        <v>675988.42849474866</v>
      </c>
      <c r="K18" s="99">
        <f t="shared" si="33"/>
        <v>693897.67124106444</v>
      </c>
      <c r="L18" s="99">
        <f t="shared" si="33"/>
        <v>712784.90400530444</v>
      </c>
      <c r="M18" s="99">
        <f t="shared" si="33"/>
        <v>732706.81343447953</v>
      </c>
      <c r="N18" s="99">
        <f t="shared" si="33"/>
        <v>753723.55835596099</v>
      </c>
      <c r="O18" s="99">
        <f t="shared" si="33"/>
        <v>775898.99509334692</v>
      </c>
      <c r="P18" s="99">
        <f t="shared" si="33"/>
        <v>1022655.8180888133</v>
      </c>
      <c r="Q18" s="221">
        <f t="shared" si="33"/>
        <v>582523.42165234126</v>
      </c>
      <c r="R18" s="99">
        <f t="shared" si="33"/>
        <v>603711.98851062474</v>
      </c>
      <c r="S18" s="99">
        <f t="shared" si="33"/>
        <v>626021.71252771129</v>
      </c>
      <c r="T18" s="99">
        <f t="shared" si="33"/>
        <v>649514.74306048593</v>
      </c>
      <c r="U18" s="99">
        <f t="shared" si="33"/>
        <v>648734.86541526008</v>
      </c>
      <c r="V18" s="99">
        <f t="shared" si="33"/>
        <v>674818.38470990397</v>
      </c>
      <c r="W18" s="99">
        <f t="shared" si="33"/>
        <v>702293.84539316548</v>
      </c>
      <c r="X18" s="99">
        <f t="shared" si="33"/>
        <v>731238.92113975331</v>
      </c>
      <c r="Y18" s="99">
        <f t="shared" si="33"/>
        <v>762454.89859862661</v>
      </c>
      <c r="Z18" s="99">
        <f t="shared" si="33"/>
        <v>793871.19206456956</v>
      </c>
      <c r="AA18" s="99">
        <f t="shared" si="33"/>
        <v>804607.86379499617</v>
      </c>
      <c r="AB18" s="99">
        <f t="shared" si="33"/>
        <v>840322.25354219263</v>
      </c>
      <c r="AC18" s="99">
        <f t="shared" si="14"/>
        <v>19266652.619034134</v>
      </c>
    </row>
    <row r="19" spans="1:29" ht="15.75">
      <c r="A19" s="98" t="s">
        <v>132</v>
      </c>
      <c r="B19" s="220" t="s">
        <v>148</v>
      </c>
      <c r="C19" s="41" t="s">
        <v>26</v>
      </c>
      <c r="D19" s="217">
        <f>D20</f>
        <v>85094.81</v>
      </c>
      <c r="E19" s="217">
        <f>E20+E23+E24</f>
        <v>2705579.6370000001</v>
      </c>
      <c r="F19" s="215"/>
      <c r="G19" s="216"/>
      <c r="H19" s="216"/>
      <c r="I19" s="216"/>
      <c r="J19" s="216"/>
      <c r="K19" s="216"/>
      <c r="L19" s="216"/>
      <c r="M19" s="216"/>
      <c r="N19" s="216"/>
      <c r="O19" s="216"/>
      <c r="P19" s="217">
        <f>P20+P23+P24</f>
        <v>220476.98750000002</v>
      </c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7">
        <f t="shared" si="14"/>
        <v>3011151.4345</v>
      </c>
    </row>
    <row r="20" spans="1:29" ht="15.75">
      <c r="A20" s="43"/>
      <c r="B20" s="75" t="s">
        <v>147</v>
      </c>
      <c r="C20" s="48"/>
      <c r="D20" s="90">
        <f>D21+D22</f>
        <v>85094.81</v>
      </c>
      <c r="E20" s="90">
        <f>E21+E22</f>
        <v>2418524.33</v>
      </c>
      <c r="F20" s="7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153">
        <f t="shared" si="14"/>
        <v>2503619.14</v>
      </c>
    </row>
    <row r="21" spans="1:29" ht="15.75">
      <c r="A21" s="43"/>
      <c r="B21" s="129" t="s">
        <v>145</v>
      </c>
      <c r="C21" s="48"/>
      <c r="D21" s="90">
        <v>47635.72</v>
      </c>
      <c r="E21" s="90">
        <f>1391627.44+55464.44</f>
        <v>1447091.88</v>
      </c>
      <c r="F21" s="7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153">
        <f t="shared" si="14"/>
        <v>1494727.5999999999</v>
      </c>
    </row>
    <row r="22" spans="1:29" ht="15.75">
      <c r="A22" s="43"/>
      <c r="B22" s="129" t="s">
        <v>146</v>
      </c>
      <c r="C22" s="48"/>
      <c r="D22" s="90">
        <v>37459.089999999997</v>
      </c>
      <c r="E22" s="90">
        <f>927060.89+44371.56</f>
        <v>971432.45</v>
      </c>
      <c r="F22" s="7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153">
        <f t="shared" si="14"/>
        <v>1008891.5399999999</v>
      </c>
    </row>
    <row r="23" spans="1:29" ht="15.75">
      <c r="A23" s="43"/>
      <c r="B23" s="75" t="s">
        <v>186</v>
      </c>
      <c r="C23" s="48"/>
      <c r="D23" s="76"/>
      <c r="E23" s="90">
        <f>E10</f>
        <v>143217.647</v>
      </c>
      <c r="F23" s="73"/>
      <c r="G23" s="83"/>
      <c r="H23" s="83"/>
      <c r="I23" s="83"/>
      <c r="J23" s="83"/>
      <c r="K23" s="83"/>
      <c r="L23" s="83"/>
      <c r="M23" s="83"/>
      <c r="N23" s="83"/>
      <c r="O23" s="83"/>
      <c r="P23" s="153">
        <f>P11</f>
        <v>220476.98750000002</v>
      </c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153">
        <f t="shared" si="14"/>
        <v>363694.63450000004</v>
      </c>
    </row>
    <row r="24" spans="1:29" ht="15.75">
      <c r="A24" s="43"/>
      <c r="B24" s="75" t="s">
        <v>187</v>
      </c>
      <c r="C24" s="48"/>
      <c r="D24" s="76"/>
      <c r="E24" s="90">
        <f>172605.192/1.2</f>
        <v>143837.66</v>
      </c>
      <c r="F24" s="7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153">
        <f t="shared" si="14"/>
        <v>143837.66</v>
      </c>
    </row>
    <row r="25" spans="1:29" ht="15.75">
      <c r="A25" s="98" t="s">
        <v>134</v>
      </c>
      <c r="B25" s="130" t="s">
        <v>139</v>
      </c>
      <c r="C25" s="41" t="s">
        <v>26</v>
      </c>
      <c r="D25" s="74">
        <f t="shared" ref="D25:AB25" si="34">D26+D72+D85+D98+D100+D102</f>
        <v>4537.954547039687</v>
      </c>
      <c r="E25" s="74">
        <f t="shared" si="34"/>
        <v>5617.4217293862494</v>
      </c>
      <c r="F25" s="87">
        <f t="shared" si="34"/>
        <v>638347.40401178517</v>
      </c>
      <c r="G25" s="236">
        <f t="shared" si="34"/>
        <v>652987.61546630808</v>
      </c>
      <c r="H25" s="87">
        <f t="shared" si="34"/>
        <v>668503.84115000675</v>
      </c>
      <c r="I25" s="87">
        <f t="shared" si="34"/>
        <v>718213.65600625519</v>
      </c>
      <c r="J25" s="87">
        <f t="shared" si="34"/>
        <v>675988.42849474866</v>
      </c>
      <c r="K25" s="87">
        <f t="shared" si="34"/>
        <v>693897.67124106444</v>
      </c>
      <c r="L25" s="87">
        <f t="shared" si="34"/>
        <v>712784.90400530444</v>
      </c>
      <c r="M25" s="87">
        <f t="shared" si="34"/>
        <v>732706.81343447953</v>
      </c>
      <c r="N25" s="87">
        <f t="shared" si="34"/>
        <v>753723.55835596099</v>
      </c>
      <c r="O25" s="87">
        <f t="shared" si="34"/>
        <v>775898.99509334692</v>
      </c>
      <c r="P25" s="87">
        <f t="shared" si="34"/>
        <v>802178.83058881329</v>
      </c>
      <c r="Q25" s="87">
        <f t="shared" si="34"/>
        <v>582523.42165234126</v>
      </c>
      <c r="R25" s="87">
        <f t="shared" si="34"/>
        <v>603711.98851062474</v>
      </c>
      <c r="S25" s="87">
        <f t="shared" si="34"/>
        <v>626021.71252771129</v>
      </c>
      <c r="T25" s="87">
        <f t="shared" si="34"/>
        <v>649514.74306048593</v>
      </c>
      <c r="U25" s="87">
        <f t="shared" si="34"/>
        <v>648734.86541526008</v>
      </c>
      <c r="V25" s="87">
        <f t="shared" si="34"/>
        <v>674818.38470990397</v>
      </c>
      <c r="W25" s="87">
        <f t="shared" si="34"/>
        <v>702293.84539316548</v>
      </c>
      <c r="X25" s="87">
        <f t="shared" si="34"/>
        <v>731238.92113975331</v>
      </c>
      <c r="Y25" s="87">
        <f t="shared" si="34"/>
        <v>762454.89859862661</v>
      </c>
      <c r="Z25" s="87">
        <f t="shared" si="34"/>
        <v>793871.19206456956</v>
      </c>
      <c r="AA25" s="87">
        <f t="shared" si="34"/>
        <v>804607.86379499617</v>
      </c>
      <c r="AB25" s="87">
        <f t="shared" si="34"/>
        <v>840322.25354219263</v>
      </c>
      <c r="AC25" s="87">
        <f t="shared" si="14"/>
        <v>16255501.184534131</v>
      </c>
    </row>
    <row r="26" spans="1:29" ht="15.75">
      <c r="A26" s="64" t="s">
        <v>135</v>
      </c>
      <c r="B26" s="131" t="s">
        <v>61</v>
      </c>
      <c r="C26" s="41" t="s">
        <v>62</v>
      </c>
      <c r="D26" s="74">
        <f t="shared" ref="D26:AB26" si="35">SUM(D27,D32,D34,D54,D65,D67)</f>
        <v>1562.4</v>
      </c>
      <c r="E26" s="74">
        <f t="shared" si="35"/>
        <v>1656.144</v>
      </c>
      <c r="F26" s="87">
        <f t="shared" si="35"/>
        <v>203244.92338459601</v>
      </c>
      <c r="G26" s="87">
        <f t="shared" si="35"/>
        <v>213030.0699708483</v>
      </c>
      <c r="H26" s="87">
        <f t="shared" si="35"/>
        <v>223342.64835642956</v>
      </c>
      <c r="I26" s="87">
        <f t="shared" si="35"/>
        <v>265889.22560883884</v>
      </c>
      <c r="J26" s="87">
        <f t="shared" si="35"/>
        <v>278284.80917946581</v>
      </c>
      <c r="K26" s="87">
        <f t="shared" si="35"/>
        <v>291329.60610719834</v>
      </c>
      <c r="L26" s="93">
        <f t="shared" si="35"/>
        <v>305059.47834817652</v>
      </c>
      <c r="M26" s="93">
        <f t="shared" si="35"/>
        <v>319512.34422800579</v>
      </c>
      <c r="N26" s="93">
        <f t="shared" si="35"/>
        <v>334728.29884727136</v>
      </c>
      <c r="O26" s="94">
        <f t="shared" si="35"/>
        <v>350749.74161710107</v>
      </c>
      <c r="P26" s="93">
        <f t="shared" si="35"/>
        <v>367634.4010277706</v>
      </c>
      <c r="Q26" s="93">
        <f t="shared" si="35"/>
        <v>385595.39506900473</v>
      </c>
      <c r="R26" s="93">
        <f t="shared" si="35"/>
        <v>404305.86347456864</v>
      </c>
      <c r="S26" s="42">
        <f t="shared" si="35"/>
        <v>424017.28555345832</v>
      </c>
      <c r="T26" s="42">
        <f t="shared" si="35"/>
        <v>444785.77605309</v>
      </c>
      <c r="U26" s="42">
        <f t="shared" si="35"/>
        <v>466692.590266157</v>
      </c>
      <c r="V26" s="42">
        <f t="shared" si="35"/>
        <v>489778.62798687484</v>
      </c>
      <c r="W26" s="42">
        <f t="shared" si="35"/>
        <v>514110.32263068599</v>
      </c>
      <c r="X26" s="42">
        <f t="shared" si="35"/>
        <v>539757.95980553457</v>
      </c>
      <c r="Y26" s="42">
        <f t="shared" si="35"/>
        <v>566795.90424494585</v>
      </c>
      <c r="Z26" s="42">
        <f t="shared" si="35"/>
        <v>595302.84022331028</v>
      </c>
      <c r="AA26" s="42">
        <f t="shared" si="35"/>
        <v>625381.86918681615</v>
      </c>
      <c r="AB26" s="42">
        <f t="shared" si="35"/>
        <v>657101.25080850197</v>
      </c>
      <c r="AC26" s="42">
        <f t="shared" si="14"/>
        <v>9269649.7759786509</v>
      </c>
    </row>
    <row r="27" spans="1:29" ht="45">
      <c r="A27" s="61" t="s">
        <v>149</v>
      </c>
      <c r="B27" s="127" t="s">
        <v>63</v>
      </c>
      <c r="C27" s="55" t="s">
        <v>62</v>
      </c>
      <c r="D27" s="77"/>
      <c r="E27" s="77"/>
      <c r="F27" s="78">
        <v>16795.136131869338</v>
      </c>
      <c r="G27" s="78">
        <v>17292.272161372668</v>
      </c>
      <c r="H27" s="91">
        <v>17804.123417349299</v>
      </c>
      <c r="I27" s="78">
        <v>50008.095364603876</v>
      </c>
      <c r="J27" s="78">
        <v>51488.334987396156</v>
      </c>
      <c r="K27" s="78">
        <v>53012.389703023087</v>
      </c>
      <c r="L27" s="78">
        <v>54581.556438232568</v>
      </c>
      <c r="M27" s="78">
        <v>56197.170508804258</v>
      </c>
      <c r="N27" s="78">
        <v>57860.606755864865</v>
      </c>
      <c r="O27" s="91">
        <v>59573.280715838475</v>
      </c>
      <c r="P27" s="78">
        <v>61336.649825027293</v>
      </c>
      <c r="Q27" s="78">
        <v>63152.214659848112</v>
      </c>
      <c r="R27" s="78">
        <v>65021.520213779615</v>
      </c>
      <c r="S27" s="78">
        <v>66946.157212107501</v>
      </c>
      <c r="T27" s="78">
        <v>68927.763465585886</v>
      </c>
      <c r="U27" s="78">
        <v>70968.025264167241</v>
      </c>
      <c r="V27" s="78">
        <v>73068.678811986581</v>
      </c>
      <c r="W27" s="78">
        <v>75231.511704821402</v>
      </c>
      <c r="X27" s="78">
        <v>77458.364451284113</v>
      </c>
      <c r="Y27" s="78">
        <v>79751.132039042132</v>
      </c>
      <c r="Z27" s="78">
        <v>82111.765547397794</v>
      </c>
      <c r="AA27" s="78">
        <v>84542.273807600781</v>
      </c>
      <c r="AB27" s="78">
        <v>87044.725112305765</v>
      </c>
      <c r="AC27" s="78">
        <f t="shared" si="14"/>
        <v>1390173.7482993088</v>
      </c>
    </row>
    <row r="28" spans="1:29" ht="15.75" hidden="1">
      <c r="A28" s="52"/>
      <c r="B28" s="133" t="s">
        <v>64</v>
      </c>
      <c r="C28" s="53" t="s">
        <v>62</v>
      </c>
      <c r="D28" s="79"/>
      <c r="E28" s="79"/>
      <c r="F28" s="80">
        <v>4003.6185449390678</v>
      </c>
      <c r="G28" s="80">
        <v>4123.3147285771111</v>
      </c>
      <c r="H28" s="92">
        <v>4246.5894690173809</v>
      </c>
      <c r="I28" s="80">
        <v>4373.5497543725942</v>
      </c>
      <c r="J28" s="80">
        <v>4504.3057713790722</v>
      </c>
      <c r="K28" s="80">
        <v>4638.9710010259923</v>
      </c>
      <c r="L28" s="80">
        <v>4777.6623170436669</v>
      </c>
      <c r="M28" s="80">
        <v>4920.5000873363215</v>
      </c>
      <c r="N28" s="80">
        <v>5067.6082784474156</v>
      </c>
      <c r="O28" s="92">
        <v>5219.1145631481586</v>
      </c>
      <c r="P28" s="80">
        <v>5375.1504312425996</v>
      </c>
      <c r="Q28" s="80">
        <v>5535.8513036854602</v>
      </c>
      <c r="R28" s="80">
        <v>5701.3566501117448</v>
      </c>
      <c r="S28" s="80">
        <v>5871.8101098801362</v>
      </c>
      <c r="T28" s="80">
        <v>6047.3596167352234</v>
      </c>
      <c r="U28" s="80">
        <v>6228.1575271967567</v>
      </c>
      <c r="V28" s="80">
        <v>6414.3607527873583</v>
      </c>
      <c r="W28" s="80">
        <v>6606.1308962134426</v>
      </c>
      <c r="X28" s="80">
        <v>6803.6343916175365</v>
      </c>
      <c r="Y28" s="80">
        <v>7007.042649023726</v>
      </c>
      <c r="Z28" s="80">
        <v>7216.5322031015885</v>
      </c>
      <c r="AA28" s="80">
        <v>7432.2848663777168</v>
      </c>
      <c r="AB28" s="80">
        <v>7654.4878870278117</v>
      </c>
      <c r="AC28" s="80">
        <f t="shared" si="14"/>
        <v>129769.39380028786</v>
      </c>
    </row>
    <row r="29" spans="1:29" ht="15.75" hidden="1">
      <c r="A29" s="52"/>
      <c r="B29" s="133" t="s">
        <v>65</v>
      </c>
      <c r="C29" s="53" t="s">
        <v>62</v>
      </c>
      <c r="D29" s="79"/>
      <c r="E29" s="79"/>
      <c r="F29" s="80">
        <v>7082.1677988812507</v>
      </c>
      <c r="G29" s="80">
        <v>7293.9033695644039</v>
      </c>
      <c r="H29" s="92">
        <v>7511.9691986042717</v>
      </c>
      <c r="I29" s="80">
        <v>7736.554541734944</v>
      </c>
      <c r="J29" s="80">
        <v>7967.8543128691945</v>
      </c>
      <c r="K29" s="80">
        <v>8206.0692532610447</v>
      </c>
      <c r="L29" s="80">
        <v>8451.4061057257913</v>
      </c>
      <c r="M29" s="80">
        <v>8704.0777940686767</v>
      </c>
      <c r="N29" s="80">
        <v>8964.3036078779478</v>
      </c>
      <c r="O29" s="92">
        <v>9232.3093928426752</v>
      </c>
      <c r="P29" s="80">
        <v>9508.327746760493</v>
      </c>
      <c r="Q29" s="80">
        <v>9792.5982214053929</v>
      </c>
      <c r="R29" s="80">
        <v>10085.367530430751</v>
      </c>
      <c r="S29" s="80">
        <v>10386.88976348804</v>
      </c>
      <c r="T29" s="80">
        <v>10697.426606747042</v>
      </c>
      <c r="U29" s="80">
        <v>11017.247570008958</v>
      </c>
      <c r="V29" s="80">
        <v>11346.630220609517</v>
      </c>
      <c r="W29" s="80">
        <v>11685.86042431508</v>
      </c>
      <c r="X29" s="80">
        <v>12035.232593420829</v>
      </c>
      <c r="Y29" s="80">
        <v>12395.049942266332</v>
      </c>
      <c r="Z29" s="80">
        <v>12765.62475039027</v>
      </c>
      <c r="AA29" s="80">
        <v>13147.278633552689</v>
      </c>
      <c r="AB29" s="80">
        <v>13540.342822860015</v>
      </c>
      <c r="AC29" s="80">
        <f t="shared" si="14"/>
        <v>229554.49220168567</v>
      </c>
    </row>
    <row r="30" spans="1:29" ht="15.75" hidden="1">
      <c r="A30" s="52"/>
      <c r="B30" s="133" t="s">
        <v>66</v>
      </c>
      <c r="C30" s="53" t="s">
        <v>62</v>
      </c>
      <c r="D30" s="79"/>
      <c r="E30" s="79"/>
      <c r="F30" s="80">
        <v>5510.6845215463982</v>
      </c>
      <c r="G30" s="80">
        <v>5675.4374566870711</v>
      </c>
      <c r="H30" s="92">
        <v>5845.1160103296452</v>
      </c>
      <c r="I30" s="80">
        <v>6019.8674436904712</v>
      </c>
      <c r="J30" s="80">
        <v>6199.8434206544853</v>
      </c>
      <c r="K30" s="80">
        <v>6385.2001394017925</v>
      </c>
      <c r="L30" s="80">
        <v>6576.0984679694884</v>
      </c>
      <c r="M30" s="80">
        <v>6772.7040838663725</v>
      </c>
      <c r="N30" s="80">
        <v>6975.1876178617258</v>
      </c>
      <c r="O30" s="92">
        <v>7183.7248020729385</v>
      </c>
      <c r="P30" s="80">
        <v>7398.4966224805139</v>
      </c>
      <c r="Q30" s="80">
        <v>7619.6894760028144</v>
      </c>
      <c r="R30" s="80">
        <v>7847.4953322668707</v>
      </c>
      <c r="S30" s="80">
        <v>8082.1119002156538</v>
      </c>
      <c r="T30" s="80">
        <v>8323.7427996964016</v>
      </c>
      <c r="U30" s="80">
        <v>8572.5977381789253</v>
      </c>
      <c r="V30" s="80">
        <v>8828.8926927572611</v>
      </c>
      <c r="W30" s="80">
        <v>9092.8500975926254</v>
      </c>
      <c r="X30" s="80">
        <v>9364.6990369603518</v>
      </c>
      <c r="Y30" s="80">
        <v>9644.6754440683562</v>
      </c>
      <c r="Z30" s="80">
        <v>9933.022305819668</v>
      </c>
      <c r="AA30" s="80">
        <v>10229.989873696759</v>
      </c>
      <c r="AB30" s="80">
        <v>10535.835880950672</v>
      </c>
      <c r="AC30" s="80">
        <f t="shared" si="14"/>
        <v>178617.96316476725</v>
      </c>
    </row>
    <row r="31" spans="1:29" ht="15.75" hidden="1">
      <c r="A31" s="52"/>
      <c r="B31" s="133" t="s">
        <v>67</v>
      </c>
      <c r="C31" s="53" t="s">
        <v>62</v>
      </c>
      <c r="D31" s="79"/>
      <c r="E31" s="79"/>
      <c r="F31" s="80">
        <v>0</v>
      </c>
      <c r="G31" s="80">
        <v>0</v>
      </c>
      <c r="H31" s="92">
        <v>0</v>
      </c>
      <c r="I31" s="80">
        <v>31551.973443864379</v>
      </c>
      <c r="J31" s="80">
        <v>32495.282793915594</v>
      </c>
      <c r="K31" s="80">
        <v>33466.79426360529</v>
      </c>
      <c r="L31" s="80">
        <v>34467.351011704297</v>
      </c>
      <c r="M31" s="80">
        <v>35497.821404901224</v>
      </c>
      <c r="N31" s="80">
        <v>36559.099771443558</v>
      </c>
      <c r="O31" s="92">
        <v>37652.107177310405</v>
      </c>
      <c r="P31" s="80">
        <v>38777.792225590456</v>
      </c>
      <c r="Q31" s="80">
        <v>39937.131879758934</v>
      </c>
      <c r="R31" s="80">
        <v>41131.132311568086</v>
      </c>
      <c r="S31" s="80">
        <v>42360.829774287042</v>
      </c>
      <c r="T31" s="80">
        <v>43627.291502048902</v>
      </c>
      <c r="U31" s="80">
        <v>44931.616636085659</v>
      </c>
      <c r="V31" s="80">
        <v>46274.937178654713</v>
      </c>
      <c r="W31" s="80">
        <v>47658.418975484958</v>
      </c>
      <c r="X31" s="80">
        <v>49083.262727595036</v>
      </c>
      <c r="Y31" s="80">
        <v>50550.705033361948</v>
      </c>
      <c r="Z31" s="80">
        <v>52062.01946174437</v>
      </c>
      <c r="AA31" s="80">
        <v>53618.517657592143</v>
      </c>
      <c r="AB31" s="80">
        <v>55221.550480001177</v>
      </c>
      <c r="AC31" s="80">
        <f t="shared" si="14"/>
        <v>846925.63571051811</v>
      </c>
    </row>
    <row r="32" spans="1:29" ht="15.75">
      <c r="A32" s="62" t="s">
        <v>150</v>
      </c>
      <c r="B32" s="127" t="s">
        <v>68</v>
      </c>
      <c r="C32" s="55" t="s">
        <v>62</v>
      </c>
      <c r="D32" s="77"/>
      <c r="E32" s="77"/>
      <c r="F32" s="158">
        <v>47738.696148000003</v>
      </c>
      <c r="G32" s="158">
        <v>49151.761553980803</v>
      </c>
      <c r="H32" s="159">
        <v>50606.653695978639</v>
      </c>
      <c r="I32" s="158">
        <v>52104.610645379609</v>
      </c>
      <c r="J32" s="158">
        <v>53646.907120482851</v>
      </c>
      <c r="K32" s="158">
        <v>55234.855571249143</v>
      </c>
      <c r="L32" s="158">
        <v>56869.80729615812</v>
      </c>
      <c r="M32" s="158">
        <v>58553.153592124407</v>
      </c>
      <c r="N32" s="158">
        <v>60286.326938451297</v>
      </c>
      <c r="O32" s="159">
        <v>62070.802215829463</v>
      </c>
      <c r="P32" s="158">
        <v>63908.097961418018</v>
      </c>
      <c r="Q32" s="158">
        <v>65799.77766107599</v>
      </c>
      <c r="R32" s="158">
        <v>67747.451079843842</v>
      </c>
      <c r="S32" s="158">
        <v>69752.775631807221</v>
      </c>
      <c r="T32" s="158">
        <v>71817.457790508721</v>
      </c>
      <c r="U32" s="158">
        <v>73943.254541107788</v>
      </c>
      <c r="V32" s="158">
        <v>76131.974875524582</v>
      </c>
      <c r="W32" s="158">
        <v>78385.481331840114</v>
      </c>
      <c r="X32" s="158">
        <v>80705.69157926258</v>
      </c>
      <c r="Y32" s="158">
        <v>83094.580050008764</v>
      </c>
      <c r="Z32" s="158">
        <v>85554.179619489034</v>
      </c>
      <c r="AA32" s="158">
        <v>88086.583336225915</v>
      </c>
      <c r="AB32" s="158">
        <v>90693.946202978201</v>
      </c>
      <c r="AC32" s="158">
        <f t="shared" si="14"/>
        <v>1541884.8264387252</v>
      </c>
    </row>
    <row r="33" spans="1:29" ht="16.5" hidden="1" customHeight="1">
      <c r="A33" s="53"/>
      <c r="B33" s="133" t="s">
        <v>69</v>
      </c>
      <c r="C33" s="53" t="s">
        <v>62</v>
      </c>
      <c r="D33" s="79"/>
      <c r="E33" s="79"/>
      <c r="F33" s="179">
        <v>47531.724389946219</v>
      </c>
      <c r="G33" s="179">
        <v>48952.780354032446</v>
      </c>
      <c r="H33" s="180">
        <v>50416.321628276957</v>
      </c>
      <c r="I33" s="179">
        <v>51923.618395997553</v>
      </c>
      <c r="J33" s="179">
        <v>53475.978815182694</v>
      </c>
      <c r="K33" s="179">
        <v>55074.750153820212</v>
      </c>
      <c r="L33" s="179">
        <v>56721.319959168977</v>
      </c>
      <c r="M33" s="179">
        <v>58417.117261988256</v>
      </c>
      <c r="N33" s="179">
        <v>60163.613816769925</v>
      </c>
      <c r="O33" s="180">
        <v>61962.3253790499</v>
      </c>
      <c r="P33" s="179">
        <v>63814.813020907357</v>
      </c>
      <c r="Q33" s="179">
        <v>65722.684485793434</v>
      </c>
      <c r="R33" s="80">
        <v>67687.595583865201</v>
      </c>
      <c r="S33" s="80">
        <v>69711.251629036022</v>
      </c>
      <c r="T33" s="80">
        <v>71795.408918989313</v>
      </c>
      <c r="U33" s="80">
        <v>73941.876259440338</v>
      </c>
      <c r="V33" s="80">
        <v>76152.516533968825</v>
      </c>
      <c r="W33" s="80">
        <v>78429.2483207849</v>
      </c>
      <c r="X33" s="80">
        <v>80774.047557831407</v>
      </c>
      <c r="Y33" s="80">
        <v>83188.949257667904</v>
      </c>
      <c r="Z33" s="80">
        <v>85676.049273624405</v>
      </c>
      <c r="AA33" s="80">
        <v>88237.506118757956</v>
      </c>
      <c r="AB33" s="80">
        <v>90875.542839190472</v>
      </c>
      <c r="AC33" s="80">
        <f t="shared" si="14"/>
        <v>1540647.0399540907</v>
      </c>
    </row>
    <row r="34" spans="1:29" ht="15.75">
      <c r="A34" s="63" t="s">
        <v>151</v>
      </c>
      <c r="B34" s="150" t="s">
        <v>70</v>
      </c>
      <c r="C34" s="151" t="s">
        <v>62</v>
      </c>
      <c r="D34" s="81">
        <f>D35+D53</f>
        <v>1562.4</v>
      </c>
      <c r="E34" s="81">
        <f>E35+E53</f>
        <v>1656.144</v>
      </c>
      <c r="F34" s="160">
        <f>F35+F53</f>
        <v>126221.35881600002</v>
      </c>
      <c r="G34" s="160">
        <f t="shared" ref="G34:AB34" si="36">G35+G53</f>
        <v>133794.64034496</v>
      </c>
      <c r="H34" s="161">
        <f t="shared" si="36"/>
        <v>141822.3187656576</v>
      </c>
      <c r="I34" s="158">
        <f t="shared" si="36"/>
        <v>150331.65789159705</v>
      </c>
      <c r="J34" s="158">
        <f t="shared" si="36"/>
        <v>159351.55736509291</v>
      </c>
      <c r="K34" s="158">
        <f t="shared" si="36"/>
        <v>168912.65080699848</v>
      </c>
      <c r="L34" s="158">
        <f t="shared" si="36"/>
        <v>179047.4098554184</v>
      </c>
      <c r="M34" s="158">
        <f t="shared" si="36"/>
        <v>189790.25444674352</v>
      </c>
      <c r="N34" s="158">
        <f t="shared" si="36"/>
        <v>201177.66971354821</v>
      </c>
      <c r="O34" s="159">
        <f t="shared" si="36"/>
        <v>213248.32989636099</v>
      </c>
      <c r="P34" s="158">
        <f t="shared" si="36"/>
        <v>226043.2296901427</v>
      </c>
      <c r="Q34" s="158">
        <f t="shared" si="36"/>
        <v>239605.8234715513</v>
      </c>
      <c r="R34" s="158">
        <f t="shared" si="36"/>
        <v>253982.17287984438</v>
      </c>
      <c r="S34" s="78">
        <f t="shared" si="36"/>
        <v>269221.10325263499</v>
      </c>
      <c r="T34" s="78">
        <f t="shared" si="36"/>
        <v>285374.36944779311</v>
      </c>
      <c r="U34" s="78">
        <f t="shared" si="36"/>
        <v>302496.8316146608</v>
      </c>
      <c r="V34" s="78">
        <f t="shared" si="36"/>
        <v>320646.64151154045</v>
      </c>
      <c r="W34" s="78">
        <f t="shared" si="36"/>
        <v>339885.44000223285</v>
      </c>
      <c r="X34" s="78">
        <f t="shared" si="36"/>
        <v>360278.56640236679</v>
      </c>
      <c r="Y34" s="78">
        <f t="shared" si="36"/>
        <v>381895.28038650891</v>
      </c>
      <c r="Z34" s="78">
        <f t="shared" si="36"/>
        <v>404808.99720969948</v>
      </c>
      <c r="AA34" s="78">
        <f t="shared" si="36"/>
        <v>429097.53704228147</v>
      </c>
      <c r="AB34" s="78">
        <f t="shared" si="36"/>
        <v>454843.38926481834</v>
      </c>
      <c r="AC34" s="78">
        <f t="shared" si="14"/>
        <v>5935095.7740784539</v>
      </c>
    </row>
    <row r="35" spans="1:29" ht="15.75">
      <c r="A35" s="62" t="s">
        <v>152</v>
      </c>
      <c r="B35" s="75" t="s">
        <v>71</v>
      </c>
      <c r="C35" s="55" t="s">
        <v>62</v>
      </c>
      <c r="D35" s="235">
        <v>1200</v>
      </c>
      <c r="E35" s="235">
        <v>1272</v>
      </c>
      <c r="F35" s="162">
        <v>96944.208000000013</v>
      </c>
      <c r="G35" s="162">
        <v>102760.86048</v>
      </c>
      <c r="H35" s="162">
        <v>108926.51210880002</v>
      </c>
      <c r="I35" s="162">
        <v>115462.102835328</v>
      </c>
      <c r="J35" s="162">
        <v>122389.8290054477</v>
      </c>
      <c r="K35" s="162">
        <v>129733.21874577457</v>
      </c>
      <c r="L35" s="162">
        <v>137517.21187052105</v>
      </c>
      <c r="M35" s="162">
        <v>145768.24458275232</v>
      </c>
      <c r="N35" s="162">
        <v>154514.33925771751</v>
      </c>
      <c r="O35" s="162">
        <v>163785.19961318048</v>
      </c>
      <c r="P35" s="162">
        <v>173612.31158997136</v>
      </c>
      <c r="Q35" s="162">
        <v>184029.05028536965</v>
      </c>
      <c r="R35" s="162">
        <v>195070.79330249183</v>
      </c>
      <c r="S35" s="162">
        <v>206775.04090064132</v>
      </c>
      <c r="T35" s="162">
        <v>219181.54335467983</v>
      </c>
      <c r="U35" s="162">
        <v>232332.43595596065</v>
      </c>
      <c r="V35" s="162">
        <v>246272.38211331831</v>
      </c>
      <c r="W35" s="162">
        <v>261048.7250401174</v>
      </c>
      <c r="X35" s="162">
        <v>276711.64854252443</v>
      </c>
      <c r="Y35" s="162">
        <v>293314.34745507594</v>
      </c>
      <c r="Z35" s="162">
        <v>310913.20830238058</v>
      </c>
      <c r="AA35" s="162">
        <v>329568.00080052338</v>
      </c>
      <c r="AB35" s="162">
        <v>349342.08084855479</v>
      </c>
      <c r="AC35" s="162">
        <f t="shared" si="14"/>
        <v>4558445.2949911309</v>
      </c>
    </row>
    <row r="36" spans="1:29" ht="15.75" hidden="1">
      <c r="A36" s="55"/>
      <c r="B36" s="134" t="s">
        <v>72</v>
      </c>
      <c r="C36" s="51" t="s">
        <v>62</v>
      </c>
      <c r="D36" s="235"/>
      <c r="E36" s="235"/>
      <c r="F36" s="162">
        <v>87101.471999999994</v>
      </c>
      <c r="G36" s="162">
        <f t="shared" ref="G36:AB36" si="37">G37*G38*12/1000</f>
        <v>91761.133569570578</v>
      </c>
      <c r="H36" s="162">
        <f t="shared" si="37"/>
        <v>97266.801583744804</v>
      </c>
      <c r="I36" s="162">
        <f t="shared" si="37"/>
        <v>103102.8096787695</v>
      </c>
      <c r="J36" s="162">
        <f t="shared" si="37"/>
        <v>109288.97825949566</v>
      </c>
      <c r="K36" s="162">
        <f t="shared" si="37"/>
        <v>115846.31695506543</v>
      </c>
      <c r="L36" s="162">
        <f t="shared" si="37"/>
        <v>122797.09597236934</v>
      </c>
      <c r="M36" s="162">
        <f t="shared" si="37"/>
        <v>130164.92173071149</v>
      </c>
      <c r="N36" s="162">
        <f t="shared" si="37"/>
        <v>137974.81703455417</v>
      </c>
      <c r="O36" s="162">
        <f t="shared" si="37"/>
        <v>146253.30605662745</v>
      </c>
      <c r="P36" s="162">
        <f t="shared" si="37"/>
        <v>155028.50442002507</v>
      </c>
      <c r="Q36" s="181">
        <f t="shared" si="37"/>
        <v>164330.21468522659</v>
      </c>
      <c r="R36" s="75">
        <f t="shared" si="37"/>
        <v>174190.0275663402</v>
      </c>
      <c r="S36" s="75">
        <f t="shared" si="37"/>
        <v>184641.42922032063</v>
      </c>
      <c r="T36" s="75">
        <f t="shared" si="37"/>
        <v>195719.91497353988</v>
      </c>
      <c r="U36" s="75">
        <f t="shared" si="37"/>
        <v>207463.1098719523</v>
      </c>
      <c r="V36" s="75">
        <f t="shared" si="37"/>
        <v>219910.89646426946</v>
      </c>
      <c r="W36" s="75">
        <f t="shared" si="37"/>
        <v>233105.5502521256</v>
      </c>
      <c r="X36" s="75">
        <f t="shared" si="37"/>
        <v>247091.88326725317</v>
      </c>
      <c r="Y36" s="75">
        <f t="shared" si="37"/>
        <v>261917.39626328839</v>
      </c>
      <c r="Z36" s="75">
        <f t="shared" si="37"/>
        <v>277632.44003908569</v>
      </c>
      <c r="AA36" s="75">
        <f t="shared" si="37"/>
        <v>294290.38644143083</v>
      </c>
      <c r="AB36" s="75">
        <f t="shared" si="37"/>
        <v>311947.80962791672</v>
      </c>
      <c r="AC36" s="75">
        <f t="shared" si="14"/>
        <v>4068827.2159336833</v>
      </c>
    </row>
    <row r="37" spans="1:29" ht="15.75" hidden="1">
      <c r="A37" s="56"/>
      <c r="B37" s="135" t="s">
        <v>73</v>
      </c>
      <c r="C37" s="56" t="s">
        <v>74</v>
      </c>
      <c r="D37" s="235"/>
      <c r="E37" s="235"/>
      <c r="F37" s="162">
        <v>163</v>
      </c>
      <c r="G37" s="162">
        <f>[5]Вводные!$D$84*[5]Тариф!J$4</f>
        <v>162</v>
      </c>
      <c r="H37" s="162">
        <f>[5]Вводные!$D$84*[5]Тариф!K$4</f>
        <v>162</v>
      </c>
      <c r="I37" s="162">
        <f>[5]Вводные!$D$84*[5]Тариф!L$4</f>
        <v>162</v>
      </c>
      <c r="J37" s="162">
        <f>[5]Вводные!$D$84*[5]Тариф!M$4</f>
        <v>162</v>
      </c>
      <c r="K37" s="162">
        <f>[5]Вводные!$D$84*[5]Тариф!N$4</f>
        <v>162</v>
      </c>
      <c r="L37" s="162">
        <f>[5]Вводные!$D$84*[5]Тариф!O$4</f>
        <v>162</v>
      </c>
      <c r="M37" s="162">
        <f>[5]Вводные!$D$84*[5]Тариф!P$4</f>
        <v>162</v>
      </c>
      <c r="N37" s="162">
        <f>[5]Вводные!$D$84*[5]Тариф!Q$4</f>
        <v>162</v>
      </c>
      <c r="O37" s="162">
        <f>[5]Вводные!$D$84*[5]Тариф!R$4</f>
        <v>162</v>
      </c>
      <c r="P37" s="162">
        <f>[5]Вводные!$D$84*[5]Тариф!S$4</f>
        <v>162</v>
      </c>
      <c r="Q37" s="182">
        <f>[5]Вводные!$D$84*[5]Тариф!T$4</f>
        <v>162</v>
      </c>
      <c r="R37" s="82">
        <f>[5]Вводные!$D$84*[5]Тариф!U$4</f>
        <v>162</v>
      </c>
      <c r="S37" s="82">
        <f>[5]Вводные!$D$84*[5]Тариф!V$4</f>
        <v>162</v>
      </c>
      <c r="T37" s="82">
        <f>[5]Вводные!$D$84*[5]Тариф!W$4</f>
        <v>162</v>
      </c>
      <c r="U37" s="82">
        <f>[5]Вводные!$D$84*[5]Тариф!X$4</f>
        <v>162</v>
      </c>
      <c r="V37" s="82">
        <f>[5]Вводные!$D$84*[5]Тариф!Y$4</f>
        <v>162</v>
      </c>
      <c r="W37" s="82">
        <f>[5]Вводные!$D$84*[5]Тариф!Z$4</f>
        <v>162</v>
      </c>
      <c r="X37" s="82">
        <f>[5]Вводные!$D$84*[5]Тариф!AA$4</f>
        <v>162</v>
      </c>
      <c r="Y37" s="82">
        <f>[5]Вводные!$D$84*[5]Тариф!AB$4</f>
        <v>162</v>
      </c>
      <c r="Z37" s="82">
        <f>[5]Вводные!$D$84*[5]Тариф!AC$4</f>
        <v>162</v>
      </c>
      <c r="AA37" s="82">
        <f>[5]Вводные!$D$84*[5]Тариф!AD$4</f>
        <v>162</v>
      </c>
      <c r="AB37" s="82">
        <f>[5]Вводные!$D$84*[5]Тариф!AE$4</f>
        <v>162</v>
      </c>
      <c r="AC37" s="82">
        <f t="shared" si="14"/>
        <v>3727</v>
      </c>
    </row>
    <row r="38" spans="1:29" ht="15.75" hidden="1">
      <c r="A38" s="53"/>
      <c r="B38" s="133" t="s">
        <v>75</v>
      </c>
      <c r="C38" s="53" t="s">
        <v>76</v>
      </c>
      <c r="D38" s="235"/>
      <c r="E38" s="235"/>
      <c r="F38" s="162">
        <v>44530.404907975462</v>
      </c>
      <c r="G38" s="162">
        <v>47202.229202453993</v>
      </c>
      <c r="H38" s="162">
        <v>50034.362954601238</v>
      </c>
      <c r="I38" s="162">
        <v>53036.424731877312</v>
      </c>
      <c r="J38" s="162">
        <v>56218.610215789951</v>
      </c>
      <c r="K38" s="162">
        <v>59591.726828737352</v>
      </c>
      <c r="L38" s="162">
        <v>63167.230438461593</v>
      </c>
      <c r="M38" s="162">
        <v>66957.264264769285</v>
      </c>
      <c r="N38" s="162">
        <v>70974.700120655441</v>
      </c>
      <c r="O38" s="162">
        <v>75233.182127894775</v>
      </c>
      <c r="P38" s="162">
        <v>79747.173055568463</v>
      </c>
      <c r="Q38" s="179">
        <v>84532.003438902568</v>
      </c>
      <c r="R38" s="80">
        <v>89603.923645236733</v>
      </c>
      <c r="S38" s="80">
        <v>94980.159063950938</v>
      </c>
      <c r="T38" s="80">
        <v>100678.968607788</v>
      </c>
      <c r="U38" s="80">
        <v>106719.70672425529</v>
      </c>
      <c r="V38" s="80">
        <v>113122.88912771062</v>
      </c>
      <c r="W38" s="80">
        <v>119910.26247537325</v>
      </c>
      <c r="X38" s="80">
        <v>127104.87822389565</v>
      </c>
      <c r="Y38" s="80">
        <v>134731.17091732941</v>
      </c>
      <c r="Z38" s="80">
        <v>142815.04117236918</v>
      </c>
      <c r="AA38" s="80">
        <v>151383.94364271133</v>
      </c>
      <c r="AB38" s="80">
        <v>160466.980261274</v>
      </c>
      <c r="AC38" s="80">
        <f t="shared" si="14"/>
        <v>2092743.2361495814</v>
      </c>
    </row>
    <row r="39" spans="1:29" ht="15.75" hidden="1">
      <c r="A39" s="55"/>
      <c r="B39" s="134" t="s">
        <v>77</v>
      </c>
      <c r="C39" s="55" t="s">
        <v>62</v>
      </c>
      <c r="D39" s="235"/>
      <c r="E39" s="235"/>
      <c r="F39" s="162">
        <v>0</v>
      </c>
      <c r="G39" s="162">
        <f t="shared" ref="G39:AA39" si="38">G40*G41*12/1000</f>
        <v>0</v>
      </c>
      <c r="H39" s="162">
        <f t="shared" si="38"/>
        <v>0</v>
      </c>
      <c r="I39" s="162">
        <f t="shared" si="38"/>
        <v>0</v>
      </c>
      <c r="J39" s="162">
        <f t="shared" si="38"/>
        <v>0</v>
      </c>
      <c r="K39" s="162">
        <f t="shared" si="38"/>
        <v>0</v>
      </c>
      <c r="L39" s="162">
        <f t="shared" si="38"/>
        <v>0</v>
      </c>
      <c r="M39" s="162">
        <f t="shared" si="38"/>
        <v>0</v>
      </c>
      <c r="N39" s="162">
        <f t="shared" si="38"/>
        <v>0</v>
      </c>
      <c r="O39" s="162">
        <f t="shared" si="38"/>
        <v>0</v>
      </c>
      <c r="P39" s="162">
        <f t="shared" si="38"/>
        <v>0</v>
      </c>
      <c r="Q39" s="181">
        <f t="shared" si="38"/>
        <v>0</v>
      </c>
      <c r="R39" s="75">
        <f t="shared" si="38"/>
        <v>0</v>
      </c>
      <c r="S39" s="75">
        <f t="shared" si="38"/>
        <v>0</v>
      </c>
      <c r="T39" s="75">
        <f t="shared" si="38"/>
        <v>0</v>
      </c>
      <c r="U39" s="75">
        <f t="shared" si="38"/>
        <v>0</v>
      </c>
      <c r="V39" s="75">
        <f t="shared" si="38"/>
        <v>0</v>
      </c>
      <c r="W39" s="75">
        <f t="shared" si="38"/>
        <v>0</v>
      </c>
      <c r="X39" s="75">
        <f t="shared" si="38"/>
        <v>0</v>
      </c>
      <c r="Y39" s="75">
        <f t="shared" si="38"/>
        <v>0</v>
      </c>
      <c r="Z39" s="75">
        <f t="shared" si="38"/>
        <v>0</v>
      </c>
      <c r="AA39" s="75">
        <f t="shared" si="38"/>
        <v>0</v>
      </c>
      <c r="AB39" s="155"/>
      <c r="AC39" s="155">
        <f t="shared" si="14"/>
        <v>0</v>
      </c>
    </row>
    <row r="40" spans="1:29" ht="15.75" hidden="1">
      <c r="A40" s="56"/>
      <c r="B40" s="135" t="s">
        <v>73</v>
      </c>
      <c r="C40" s="56" t="s">
        <v>74</v>
      </c>
      <c r="D40" s="235"/>
      <c r="E40" s="235"/>
      <c r="F40" s="162">
        <v>0</v>
      </c>
      <c r="G40" s="162">
        <f>[5]Вводные!$D$87*[5]Тариф!J$4</f>
        <v>0</v>
      </c>
      <c r="H40" s="162">
        <f>[5]Вводные!$D$87*[5]Тариф!K$4</f>
        <v>0</v>
      </c>
      <c r="I40" s="162">
        <f>[5]Вводные!$D$87*[5]Тариф!L$4</f>
        <v>0</v>
      </c>
      <c r="J40" s="162">
        <f>[5]Вводные!$D$87*[5]Тариф!M$4</f>
        <v>0</v>
      </c>
      <c r="K40" s="162">
        <f>[5]Вводные!$D$87*[5]Тариф!N$4</f>
        <v>0</v>
      </c>
      <c r="L40" s="162">
        <f>[5]Вводные!$D$87*[5]Тариф!O$4</f>
        <v>0</v>
      </c>
      <c r="M40" s="162">
        <f>[5]Вводные!$D$87*[5]Тариф!P$4</f>
        <v>0</v>
      </c>
      <c r="N40" s="162">
        <f>[5]Вводные!$D$87*[5]Тариф!Q$4</f>
        <v>0</v>
      </c>
      <c r="O40" s="162">
        <f>[5]Вводные!$D$87*[5]Тариф!R$4</f>
        <v>0</v>
      </c>
      <c r="P40" s="162">
        <f>[5]Вводные!$D$87*[5]Тариф!S$4</f>
        <v>0</v>
      </c>
      <c r="Q40" s="182">
        <f>[5]Вводные!$D$87*[5]Тариф!T$4</f>
        <v>0</v>
      </c>
      <c r="R40" s="82">
        <f>[5]Вводные!$D$87*[5]Тариф!U$4</f>
        <v>0</v>
      </c>
      <c r="S40" s="82">
        <f>[5]Вводные!$D$87*[5]Тариф!V$4</f>
        <v>0</v>
      </c>
      <c r="T40" s="82">
        <f>[5]Вводные!$D$87*[5]Тариф!W$4</f>
        <v>0</v>
      </c>
      <c r="U40" s="82">
        <f>[5]Вводные!$D$87*[5]Тариф!X$4</f>
        <v>0</v>
      </c>
      <c r="V40" s="82">
        <f>[5]Вводные!$D$87*[5]Тариф!Y$4</f>
        <v>0</v>
      </c>
      <c r="W40" s="82">
        <f>[5]Вводные!$D$87*[5]Тариф!Z$4</f>
        <v>0</v>
      </c>
      <c r="X40" s="82">
        <f>[5]Вводные!$D$87*[5]Тариф!AA$4</f>
        <v>0</v>
      </c>
      <c r="Y40" s="82">
        <f>[5]Вводные!$D$87*[5]Тариф!AB$4</f>
        <v>0</v>
      </c>
      <c r="Z40" s="82">
        <f>[5]Вводные!$D$87*[5]Тариф!AC$4</f>
        <v>0</v>
      </c>
      <c r="AA40" s="82">
        <f>[5]Вводные!$D$87*[5]Тариф!AD$4</f>
        <v>0</v>
      </c>
      <c r="AB40" s="155"/>
      <c r="AC40" s="155">
        <f t="shared" si="14"/>
        <v>0</v>
      </c>
    </row>
    <row r="41" spans="1:29" ht="15.75" hidden="1">
      <c r="A41" s="56"/>
      <c r="B41" s="135" t="s">
        <v>75</v>
      </c>
      <c r="C41" s="56" t="s">
        <v>76</v>
      </c>
      <c r="D41" s="235"/>
      <c r="E41" s="235"/>
      <c r="F41" s="162">
        <v>0</v>
      </c>
      <c r="G41" s="162">
        <f>[5]Вводные!H79*[5]Тариф!J$4</f>
        <v>0</v>
      </c>
      <c r="H41" s="162">
        <f>[5]Вводные!I79*[5]Тариф!K$4</f>
        <v>0</v>
      </c>
      <c r="I41" s="162">
        <f>[5]Вводные!J79*[5]Тариф!L$4</f>
        <v>0</v>
      </c>
      <c r="J41" s="162">
        <f>[5]Вводные!K79*[5]Тариф!M$4</f>
        <v>0</v>
      </c>
      <c r="K41" s="162">
        <f>[5]Вводные!L79*[5]Тариф!N$4</f>
        <v>0</v>
      </c>
      <c r="L41" s="162">
        <f>[5]Вводные!M79*[5]Тариф!O$4</f>
        <v>0</v>
      </c>
      <c r="M41" s="162">
        <f>[5]Вводные!N79*[5]Тариф!P$4</f>
        <v>0</v>
      </c>
      <c r="N41" s="162">
        <f>[5]Вводные!O79*[5]Тариф!Q$4</f>
        <v>0</v>
      </c>
      <c r="O41" s="162">
        <f>[5]Вводные!P79*[5]Тариф!R$4</f>
        <v>0</v>
      </c>
      <c r="P41" s="162">
        <f>[5]Вводные!Q79*[5]Тариф!S$4</f>
        <v>0</v>
      </c>
      <c r="Q41" s="182">
        <f>[5]Вводные!R79*[5]Тариф!T$4</f>
        <v>0</v>
      </c>
      <c r="R41" s="82">
        <f>[5]Вводные!S79*[5]Тариф!U$4</f>
        <v>0</v>
      </c>
      <c r="S41" s="82">
        <f>[5]Вводные!T79*[5]Тариф!V$4</f>
        <v>0</v>
      </c>
      <c r="T41" s="82">
        <f>[5]Вводные!U79*[5]Тариф!W$4</f>
        <v>0</v>
      </c>
      <c r="U41" s="82">
        <f>[5]Вводные!V79*[5]Тариф!X$4</f>
        <v>0</v>
      </c>
      <c r="V41" s="82">
        <f>[5]Вводные!W79*[5]Тариф!Y$4</f>
        <v>0</v>
      </c>
      <c r="W41" s="82">
        <f>[5]Вводные!X79*[5]Тариф!Z$4</f>
        <v>0</v>
      </c>
      <c r="X41" s="82">
        <f>[5]Вводные!Y79*[5]Тариф!AA$4</f>
        <v>0</v>
      </c>
      <c r="Y41" s="82">
        <f>[5]Вводные!Z79*[5]Тариф!AB$4</f>
        <v>0</v>
      </c>
      <c r="Z41" s="82">
        <f>[5]Вводные!AA79*[5]Тариф!AC$4</f>
        <v>0</v>
      </c>
      <c r="AA41" s="82">
        <f>[5]Вводные!AB79*[5]Тариф!AD$4</f>
        <v>0</v>
      </c>
      <c r="AB41" s="155"/>
      <c r="AC41" s="155">
        <f t="shared" si="14"/>
        <v>0</v>
      </c>
    </row>
    <row r="42" spans="1:29" ht="15.75" hidden="1">
      <c r="A42" s="55"/>
      <c r="B42" s="134" t="s">
        <v>78</v>
      </c>
      <c r="C42" s="55" t="s">
        <v>62</v>
      </c>
      <c r="D42" s="235"/>
      <c r="E42" s="235"/>
      <c r="F42" s="162">
        <v>0</v>
      </c>
      <c r="G42" s="162">
        <f t="shared" ref="G42:AA42" si="39">G43*G44*12/1000</f>
        <v>0</v>
      </c>
      <c r="H42" s="162">
        <f t="shared" si="39"/>
        <v>0</v>
      </c>
      <c r="I42" s="162">
        <f t="shared" si="39"/>
        <v>0</v>
      </c>
      <c r="J42" s="162">
        <f t="shared" si="39"/>
        <v>0</v>
      </c>
      <c r="K42" s="162">
        <f t="shared" si="39"/>
        <v>0</v>
      </c>
      <c r="L42" s="162">
        <f t="shared" si="39"/>
        <v>0</v>
      </c>
      <c r="M42" s="162">
        <f t="shared" si="39"/>
        <v>0</v>
      </c>
      <c r="N42" s="162">
        <f t="shared" si="39"/>
        <v>0</v>
      </c>
      <c r="O42" s="162">
        <f t="shared" si="39"/>
        <v>0</v>
      </c>
      <c r="P42" s="162">
        <f t="shared" si="39"/>
        <v>0</v>
      </c>
      <c r="Q42" s="181">
        <f t="shared" si="39"/>
        <v>0</v>
      </c>
      <c r="R42" s="75">
        <f t="shared" si="39"/>
        <v>0</v>
      </c>
      <c r="S42" s="75">
        <f t="shared" si="39"/>
        <v>0</v>
      </c>
      <c r="T42" s="75">
        <f t="shared" si="39"/>
        <v>0</v>
      </c>
      <c r="U42" s="75">
        <f t="shared" si="39"/>
        <v>0</v>
      </c>
      <c r="V42" s="75">
        <f t="shared" si="39"/>
        <v>0</v>
      </c>
      <c r="W42" s="75">
        <f t="shared" si="39"/>
        <v>0</v>
      </c>
      <c r="X42" s="75">
        <f t="shared" si="39"/>
        <v>0</v>
      </c>
      <c r="Y42" s="75">
        <f t="shared" si="39"/>
        <v>0</v>
      </c>
      <c r="Z42" s="75">
        <f t="shared" si="39"/>
        <v>0</v>
      </c>
      <c r="AA42" s="75">
        <f t="shared" si="39"/>
        <v>0</v>
      </c>
      <c r="AB42" s="155"/>
      <c r="AC42" s="155">
        <f t="shared" si="14"/>
        <v>0</v>
      </c>
    </row>
    <row r="43" spans="1:29" ht="15.75" hidden="1">
      <c r="A43" s="56"/>
      <c r="B43" s="135" t="s">
        <v>73</v>
      </c>
      <c r="C43" s="56" t="s">
        <v>74</v>
      </c>
      <c r="D43" s="235"/>
      <c r="E43" s="235"/>
      <c r="F43" s="162">
        <v>0</v>
      </c>
      <c r="G43" s="162">
        <f>[5]Вводные!$D$88*[5]Тариф!J$4</f>
        <v>0</v>
      </c>
      <c r="H43" s="162">
        <f>[5]Вводные!$D$88*[5]Тариф!K$4</f>
        <v>0</v>
      </c>
      <c r="I43" s="162">
        <f>[5]Вводные!$D$88*[5]Тариф!L$4</f>
        <v>0</v>
      </c>
      <c r="J43" s="162">
        <f>[5]Вводные!$D$88*[5]Тариф!M$4</f>
        <v>0</v>
      </c>
      <c r="K43" s="162">
        <f>[5]Вводные!$D$88*[5]Тариф!N$4</f>
        <v>0</v>
      </c>
      <c r="L43" s="162">
        <f>[5]Вводные!$D$88*[5]Тариф!O$4</f>
        <v>0</v>
      </c>
      <c r="M43" s="162">
        <f>[5]Вводные!$D$88*[5]Тариф!P$4</f>
        <v>0</v>
      </c>
      <c r="N43" s="162">
        <f>[5]Вводные!$D$88*[5]Тариф!Q$4</f>
        <v>0</v>
      </c>
      <c r="O43" s="162">
        <f>[5]Вводные!$D$88*[5]Тариф!R$4</f>
        <v>0</v>
      </c>
      <c r="P43" s="162">
        <f>[5]Вводные!$D$88*[5]Тариф!S$4</f>
        <v>0</v>
      </c>
      <c r="Q43" s="182">
        <f>[5]Вводные!$D$88*[5]Тариф!T$4</f>
        <v>0</v>
      </c>
      <c r="R43" s="82">
        <f>[5]Вводные!$D$88*[5]Тариф!U$4</f>
        <v>0</v>
      </c>
      <c r="S43" s="82">
        <f>[5]Вводные!$D$88*[5]Тариф!V$4</f>
        <v>0</v>
      </c>
      <c r="T43" s="82">
        <f>[5]Вводные!$D$88*[5]Тариф!W$4</f>
        <v>0</v>
      </c>
      <c r="U43" s="82">
        <f>[5]Вводные!$D$88*[5]Тариф!X$4</f>
        <v>0</v>
      </c>
      <c r="V43" s="82">
        <f>[5]Вводные!$D$88*[5]Тариф!Y$4</f>
        <v>0</v>
      </c>
      <c r="W43" s="82">
        <f>[5]Вводные!$D$88*[5]Тариф!Z$4</f>
        <v>0</v>
      </c>
      <c r="X43" s="82">
        <f>[5]Вводные!$D$88*[5]Тариф!AA$4</f>
        <v>0</v>
      </c>
      <c r="Y43" s="82">
        <f>[5]Вводные!$D$88*[5]Тариф!AB$4</f>
        <v>0</v>
      </c>
      <c r="Z43" s="82">
        <f>[5]Вводные!$D$88*[5]Тариф!AC$4</f>
        <v>0</v>
      </c>
      <c r="AA43" s="82">
        <f>[5]Вводные!$D$88*[5]Тариф!AD$4</f>
        <v>0</v>
      </c>
      <c r="AB43" s="155"/>
      <c r="AC43" s="155">
        <f t="shared" si="14"/>
        <v>0</v>
      </c>
    </row>
    <row r="44" spans="1:29" ht="15.75" hidden="1">
      <c r="A44" s="53"/>
      <c r="B44" s="133" t="s">
        <v>75</v>
      </c>
      <c r="C44" s="53" t="s">
        <v>76</v>
      </c>
      <c r="D44" s="235"/>
      <c r="E44" s="235"/>
      <c r="F44" s="162">
        <v>0</v>
      </c>
      <c r="G44" s="162">
        <f>[5]Вводные!H80*[5]Тариф!J$4</f>
        <v>0</v>
      </c>
      <c r="H44" s="162">
        <f>[5]Вводные!I80*[5]Тариф!K$4</f>
        <v>0</v>
      </c>
      <c r="I44" s="162">
        <f>[5]Вводные!J80*[5]Тариф!L$4</f>
        <v>0</v>
      </c>
      <c r="J44" s="162">
        <f>[5]Вводные!K80*[5]Тариф!M$4</f>
        <v>0</v>
      </c>
      <c r="K44" s="162">
        <f>[5]Вводные!L80*[5]Тариф!N$4</f>
        <v>0</v>
      </c>
      <c r="L44" s="162">
        <f>[5]Вводные!M80*[5]Тариф!O$4</f>
        <v>0</v>
      </c>
      <c r="M44" s="162">
        <f>[5]Вводные!N80*[5]Тариф!P$4</f>
        <v>0</v>
      </c>
      <c r="N44" s="162">
        <f>[5]Вводные!O80*[5]Тариф!Q$4</f>
        <v>0</v>
      </c>
      <c r="O44" s="162">
        <f>[5]Вводные!P80*[5]Тариф!R$4</f>
        <v>0</v>
      </c>
      <c r="P44" s="162">
        <f>[5]Вводные!Q80*[5]Тариф!S$4</f>
        <v>0</v>
      </c>
      <c r="Q44" s="179">
        <f>[5]Вводные!R80*[5]Тариф!T$4</f>
        <v>0</v>
      </c>
      <c r="R44" s="80">
        <f>[5]Вводные!S80*[5]Тариф!U$4</f>
        <v>0</v>
      </c>
      <c r="S44" s="80">
        <f>[5]Вводные!T80*[5]Тариф!V$4</f>
        <v>0</v>
      </c>
      <c r="T44" s="80">
        <f>[5]Вводные!U80*[5]Тариф!W$4</f>
        <v>0</v>
      </c>
      <c r="U44" s="80">
        <f>[5]Вводные!V80*[5]Тариф!X$4</f>
        <v>0</v>
      </c>
      <c r="V44" s="80">
        <f>[5]Вводные!W80*[5]Тариф!Y$4</f>
        <v>0</v>
      </c>
      <c r="W44" s="80">
        <f>[5]Вводные!X80*[5]Тариф!Z$4</f>
        <v>0</v>
      </c>
      <c r="X44" s="80">
        <f>[5]Вводные!Y80*[5]Тариф!AA$4</f>
        <v>0</v>
      </c>
      <c r="Y44" s="80">
        <f>[5]Вводные!Z80*[5]Тариф!AB$4</f>
        <v>0</v>
      </c>
      <c r="Z44" s="80">
        <f>[5]Вводные!AA80*[5]Тариф!AC$4</f>
        <v>0</v>
      </c>
      <c r="AA44" s="80">
        <f>[5]Вводные!AB80*[5]Тариф!AD$4</f>
        <v>0</v>
      </c>
      <c r="AB44" s="155"/>
      <c r="AC44" s="155">
        <f t="shared" si="14"/>
        <v>0</v>
      </c>
    </row>
    <row r="45" spans="1:29" ht="15.75" hidden="1">
      <c r="A45" s="55"/>
      <c r="B45" s="134" t="s">
        <v>79</v>
      </c>
      <c r="C45" s="55" t="s">
        <v>62</v>
      </c>
      <c r="D45" s="235"/>
      <c r="E45" s="235"/>
      <c r="F45" s="162">
        <v>9168.5759999999991</v>
      </c>
      <c r="G45" s="162">
        <f t="shared" ref="G45:AB45" si="40">G46*G47*12/1000</f>
        <v>9718.6905600000009</v>
      </c>
      <c r="H45" s="162">
        <f t="shared" si="40"/>
        <v>10301.8119936</v>
      </c>
      <c r="I45" s="162">
        <f t="shared" si="40"/>
        <v>10919.920713215999</v>
      </c>
      <c r="J45" s="162">
        <f t="shared" si="40"/>
        <v>11575.115956008962</v>
      </c>
      <c r="K45" s="162">
        <f t="shared" si="40"/>
        <v>12269.6229133695</v>
      </c>
      <c r="L45" s="162">
        <f t="shared" si="40"/>
        <v>13005.800288171671</v>
      </c>
      <c r="M45" s="162">
        <f t="shared" si="40"/>
        <v>13786.148305461973</v>
      </c>
      <c r="N45" s="162">
        <f t="shared" si="40"/>
        <v>14613.317203789691</v>
      </c>
      <c r="O45" s="162">
        <f t="shared" si="40"/>
        <v>15490.116236017071</v>
      </c>
      <c r="P45" s="162">
        <f t="shared" si="40"/>
        <v>16419.523210178097</v>
      </c>
      <c r="Q45" s="181">
        <f t="shared" si="40"/>
        <v>17404.694602788783</v>
      </c>
      <c r="R45" s="75">
        <f t="shared" si="40"/>
        <v>18448.97627895611</v>
      </c>
      <c r="S45" s="75">
        <f t="shared" si="40"/>
        <v>19555.914855693478</v>
      </c>
      <c r="T45" s="75">
        <f t="shared" si="40"/>
        <v>20729.269747035087</v>
      </c>
      <c r="U45" s="75">
        <f t="shared" si="40"/>
        <v>21973.025931857195</v>
      </c>
      <c r="V45" s="75">
        <f t="shared" si="40"/>
        <v>23291.407487768629</v>
      </c>
      <c r="W45" s="75">
        <f t="shared" si="40"/>
        <v>24688.89193703475</v>
      </c>
      <c r="X45" s="75">
        <f t="shared" si="40"/>
        <v>26170.225453256829</v>
      </c>
      <c r="Y45" s="75">
        <f t="shared" si="40"/>
        <v>27740.438980452247</v>
      </c>
      <c r="Z45" s="75">
        <f t="shared" si="40"/>
        <v>29404.865319279379</v>
      </c>
      <c r="AA45" s="75">
        <f t="shared" si="40"/>
        <v>31169.157238436143</v>
      </c>
      <c r="AB45" s="75">
        <f t="shared" si="40"/>
        <v>33039.306672742314</v>
      </c>
      <c r="AC45" s="75">
        <f t="shared" si="14"/>
        <v>430884.81788511382</v>
      </c>
    </row>
    <row r="46" spans="1:29" ht="15.75" hidden="1">
      <c r="A46" s="56"/>
      <c r="B46" s="135" t="s">
        <v>73</v>
      </c>
      <c r="C46" s="56" t="s">
        <v>74</v>
      </c>
      <c r="D46" s="235"/>
      <c r="E46" s="235"/>
      <c r="F46" s="162">
        <v>17</v>
      </c>
      <c r="G46" s="162">
        <f>[5]Вводные!$D$89*[5]Тариф!J$4</f>
        <v>17</v>
      </c>
      <c r="H46" s="162">
        <f>[5]Вводные!$D$89*[5]Тариф!K$4</f>
        <v>17</v>
      </c>
      <c r="I46" s="162">
        <f>[5]Вводные!$D$89*[5]Тариф!L$4</f>
        <v>17</v>
      </c>
      <c r="J46" s="162">
        <f>[5]Вводные!$D$89*[5]Тариф!M$4</f>
        <v>17</v>
      </c>
      <c r="K46" s="162">
        <f>[5]Вводные!$D$89*[5]Тариф!N$4</f>
        <v>17</v>
      </c>
      <c r="L46" s="162">
        <f>[5]Вводные!$D$89*[5]Тариф!O$4</f>
        <v>17</v>
      </c>
      <c r="M46" s="162">
        <f>[5]Вводные!$D$89*[5]Тариф!P$4</f>
        <v>17</v>
      </c>
      <c r="N46" s="162">
        <f>[5]Вводные!$D$89*[5]Тариф!Q$4</f>
        <v>17</v>
      </c>
      <c r="O46" s="162">
        <f>[5]Вводные!$D$89*[5]Тариф!R$4</f>
        <v>17</v>
      </c>
      <c r="P46" s="162">
        <f>[5]Вводные!$D$89*[5]Тариф!S$4</f>
        <v>17</v>
      </c>
      <c r="Q46" s="182">
        <f>[5]Вводные!$D$89*[5]Тариф!T$4</f>
        <v>17</v>
      </c>
      <c r="R46" s="82">
        <f>[5]Вводные!$D$89*[5]Тариф!U$4</f>
        <v>17</v>
      </c>
      <c r="S46" s="82">
        <f>[5]Вводные!$D$89*[5]Тариф!V$4</f>
        <v>17</v>
      </c>
      <c r="T46" s="82">
        <f>[5]Вводные!$D$89*[5]Тариф!W$4</f>
        <v>17</v>
      </c>
      <c r="U46" s="82">
        <f>[5]Вводные!$D$89*[5]Тариф!X$4</f>
        <v>17</v>
      </c>
      <c r="V46" s="82">
        <f>[5]Вводные!$D$89*[5]Тариф!Y$4</f>
        <v>17</v>
      </c>
      <c r="W46" s="82">
        <f>[5]Вводные!$D$89*[5]Тариф!Z$4</f>
        <v>17</v>
      </c>
      <c r="X46" s="82">
        <f>[5]Вводные!$D$89*[5]Тариф!AA$4</f>
        <v>17</v>
      </c>
      <c r="Y46" s="82">
        <f>[5]Вводные!$D$89*[5]Тариф!AB$4</f>
        <v>17</v>
      </c>
      <c r="Z46" s="82">
        <f>[5]Вводные!$D$89*[5]Тариф!AC$4</f>
        <v>17</v>
      </c>
      <c r="AA46" s="82">
        <f>[5]Вводные!$D$89*[5]Тариф!AD$4</f>
        <v>17</v>
      </c>
      <c r="AB46" s="82">
        <f>[5]Вводные!$D$89*[5]Тариф!AE$4</f>
        <v>17</v>
      </c>
      <c r="AC46" s="82">
        <f t="shared" si="14"/>
        <v>391</v>
      </c>
    </row>
    <row r="47" spans="1:29" ht="15.75" hidden="1">
      <c r="A47" s="53"/>
      <c r="B47" s="133" t="s">
        <v>75</v>
      </c>
      <c r="C47" s="53" t="s">
        <v>76</v>
      </c>
      <c r="D47" s="235"/>
      <c r="E47" s="235"/>
      <c r="F47" s="162">
        <v>44944</v>
      </c>
      <c r="G47" s="162">
        <v>47640.639999999999</v>
      </c>
      <c r="H47" s="162">
        <v>50499.078399999999</v>
      </c>
      <c r="I47" s="162">
        <v>53529.023104</v>
      </c>
      <c r="J47" s="162">
        <v>56740.764490240006</v>
      </c>
      <c r="K47" s="162">
        <v>60145.210359654411</v>
      </c>
      <c r="L47" s="162">
        <v>63753.922981233678</v>
      </c>
      <c r="M47" s="162">
        <v>67579.1583601077</v>
      </c>
      <c r="N47" s="162">
        <v>71633.907861714164</v>
      </c>
      <c r="O47" s="162">
        <v>75931.942333417013</v>
      </c>
      <c r="P47" s="162">
        <v>80487.858873422039</v>
      </c>
      <c r="Q47" s="179">
        <v>85317.130405827367</v>
      </c>
      <c r="R47" s="80">
        <v>90436.15823017701</v>
      </c>
      <c r="S47" s="80">
        <v>95862.327723987633</v>
      </c>
      <c r="T47" s="80">
        <v>101614.0673874269</v>
      </c>
      <c r="U47" s="80">
        <v>107710.91143067252</v>
      </c>
      <c r="V47" s="80">
        <v>114173.56611651288</v>
      </c>
      <c r="W47" s="80">
        <v>121023.98008350366</v>
      </c>
      <c r="X47" s="80">
        <v>128285.41888851389</v>
      </c>
      <c r="Y47" s="80">
        <v>135982.54402182472</v>
      </c>
      <c r="Z47" s="80">
        <v>144141.49666313422</v>
      </c>
      <c r="AA47" s="80">
        <v>152789.98646292227</v>
      </c>
      <c r="AB47" s="80">
        <v>161957.38565069763</v>
      </c>
      <c r="AC47" s="80">
        <f t="shared" si="14"/>
        <v>2112180.4798289901</v>
      </c>
    </row>
    <row r="48" spans="1:29" ht="15.75" hidden="1">
      <c r="A48" s="53"/>
      <c r="B48" s="134" t="s">
        <v>80</v>
      </c>
      <c r="C48" s="55" t="s">
        <v>62</v>
      </c>
      <c r="D48" s="235"/>
      <c r="E48" s="235"/>
      <c r="F48" s="162">
        <f>1348.32+1200</f>
        <v>2548.3199999999997</v>
      </c>
      <c r="G48" s="162">
        <f>1429.2192+1272</f>
        <v>2701.2192</v>
      </c>
      <c r="H48" s="162">
        <f>1514.972352</f>
        <v>1514.972352</v>
      </c>
      <c r="I48" s="162">
        <v>1605.8706931200004</v>
      </c>
      <c r="J48" s="162">
        <v>1702.2229347072002</v>
      </c>
      <c r="K48" s="162">
        <v>1804.3563107896323</v>
      </c>
      <c r="L48" s="162">
        <v>1912.6176894370105</v>
      </c>
      <c r="M48" s="162">
        <v>2027.3747508032313</v>
      </c>
      <c r="N48" s="162">
        <v>2149.0172358514251</v>
      </c>
      <c r="O48" s="162">
        <v>2277.9582700025107</v>
      </c>
      <c r="P48" s="162">
        <v>2414.6357662026612</v>
      </c>
      <c r="Q48" s="181">
        <v>2559.5139121748211</v>
      </c>
      <c r="R48" s="75">
        <v>2713.0847469053106</v>
      </c>
      <c r="S48" s="75">
        <v>2875.8698317196295</v>
      </c>
      <c r="T48" s="75">
        <v>3048.4220216228073</v>
      </c>
      <c r="U48" s="75">
        <v>3231.3273429201759</v>
      </c>
      <c r="V48" s="75">
        <v>3425.2069834953868</v>
      </c>
      <c r="W48" s="75">
        <v>3630.7194025051099</v>
      </c>
      <c r="X48" s="75">
        <v>3848.5625666554165</v>
      </c>
      <c r="Y48" s="75">
        <v>4079.4763206547414</v>
      </c>
      <c r="Z48" s="75">
        <v>4324.2448998940272</v>
      </c>
      <c r="AA48" s="75">
        <v>4583.699593887668</v>
      </c>
      <c r="AB48" s="75">
        <v>4858.7215695209288</v>
      </c>
      <c r="AC48" s="75">
        <f t="shared" si="14"/>
        <v>65837.414394869687</v>
      </c>
    </row>
    <row r="49" spans="1:29" ht="15.75" hidden="1">
      <c r="A49" s="56"/>
      <c r="B49" s="135" t="s">
        <v>73</v>
      </c>
      <c r="C49" s="53" t="s">
        <v>74</v>
      </c>
      <c r="D49" s="235"/>
      <c r="E49" s="235"/>
      <c r="F49" s="162">
        <v>1</v>
      </c>
      <c r="G49" s="162">
        <f>[5]Вводные!$D$90*[5]Тариф!J$4</f>
        <v>1</v>
      </c>
      <c r="H49" s="162">
        <f>[5]Вводные!$D$90*[5]Тариф!K$4</f>
        <v>1</v>
      </c>
      <c r="I49" s="162">
        <f>[5]Вводные!$D$90*[5]Тариф!L$4</f>
        <v>1</v>
      </c>
      <c r="J49" s="162">
        <f>[5]Вводные!$D$90*[5]Тариф!M$4</f>
        <v>1</v>
      </c>
      <c r="K49" s="162">
        <f>[5]Вводные!$D$90*[5]Тариф!N$4</f>
        <v>1</v>
      </c>
      <c r="L49" s="162">
        <f>[5]Вводные!$D$90*[5]Тариф!O$4</f>
        <v>1</v>
      </c>
      <c r="M49" s="162">
        <f>[5]Вводные!$D$90*[5]Тариф!P$4</f>
        <v>1</v>
      </c>
      <c r="N49" s="162">
        <f>[5]Вводные!$D$90*[5]Тариф!Q$4</f>
        <v>1</v>
      </c>
      <c r="O49" s="162">
        <f>[5]Вводные!$D$90*[5]Тариф!R$4</f>
        <v>1</v>
      </c>
      <c r="P49" s="162">
        <f>[5]Вводные!$D$90*[5]Тариф!S$4</f>
        <v>1</v>
      </c>
      <c r="Q49" s="182">
        <f>[5]Вводные!$D$90*[5]Тариф!T$4</f>
        <v>1</v>
      </c>
      <c r="R49" s="82">
        <f>[5]Вводные!$D$90*[5]Тариф!U$4</f>
        <v>1</v>
      </c>
      <c r="S49" s="82">
        <f>[5]Вводные!$D$90*[5]Тариф!V$4</f>
        <v>1</v>
      </c>
      <c r="T49" s="82">
        <f>[5]Вводные!$D$90*[5]Тариф!W$4</f>
        <v>1</v>
      </c>
      <c r="U49" s="82">
        <f>[5]Вводные!$D$90*[5]Тариф!X$4</f>
        <v>1</v>
      </c>
      <c r="V49" s="82">
        <f>[5]Вводные!$D$90*[5]Тариф!Y$4</f>
        <v>1</v>
      </c>
      <c r="W49" s="82">
        <f>[5]Вводные!$D$90*[5]Тариф!Z$4</f>
        <v>1</v>
      </c>
      <c r="X49" s="82">
        <f>[5]Вводные!$D$90*[5]Тариф!AA$4</f>
        <v>1</v>
      </c>
      <c r="Y49" s="82">
        <f>[5]Вводные!$D$90*[5]Тариф!AB$4</f>
        <v>1</v>
      </c>
      <c r="Z49" s="82">
        <f>[5]Вводные!$D$90*[5]Тариф!AC$4</f>
        <v>1</v>
      </c>
      <c r="AA49" s="82">
        <f>[5]Вводные!$D$90*[5]Тариф!AD$4</f>
        <v>1</v>
      </c>
      <c r="AB49" s="82">
        <f>[5]Вводные!$D$90*[5]Тариф!AE$4</f>
        <v>1</v>
      </c>
      <c r="AC49" s="82">
        <f t="shared" si="14"/>
        <v>23</v>
      </c>
    </row>
    <row r="50" spans="1:29" ht="15.75" hidden="1">
      <c r="A50" s="53"/>
      <c r="B50" s="133" t="s">
        <v>75</v>
      </c>
      <c r="C50" s="53" t="s">
        <v>76</v>
      </c>
      <c r="D50" s="235"/>
      <c r="E50" s="235"/>
      <c r="F50" s="162">
        <v>119101.6</v>
      </c>
      <c r="G50" s="162">
        <v>126247.69600000001</v>
      </c>
      <c r="H50" s="162">
        <v>133822.55776000003</v>
      </c>
      <c r="I50" s="162">
        <v>141851.91122560002</v>
      </c>
      <c r="J50" s="162">
        <v>150363.02589913603</v>
      </c>
      <c r="K50" s="162">
        <v>159384.80745308421</v>
      </c>
      <c r="L50" s="162">
        <v>168947.89590026927</v>
      </c>
      <c r="M50" s="162">
        <v>179084.76965428542</v>
      </c>
      <c r="N50" s="162">
        <v>189829.85583354256</v>
      </c>
      <c r="O50" s="162">
        <v>201219.64718355512</v>
      </c>
      <c r="P50" s="162">
        <v>213292.82601456845</v>
      </c>
      <c r="Q50" s="179">
        <v>226090.39557544256</v>
      </c>
      <c r="R50" s="80">
        <v>239655.81930996911</v>
      </c>
      <c r="S50" s="80">
        <v>254035.16846856728</v>
      </c>
      <c r="T50" s="80">
        <v>269277.27857668133</v>
      </c>
      <c r="U50" s="80">
        <v>285433.91529128223</v>
      </c>
      <c r="V50" s="80">
        <v>302559.95020875917</v>
      </c>
      <c r="W50" s="80">
        <v>320713.54722128471</v>
      </c>
      <c r="X50" s="80">
        <v>339956.36005456181</v>
      </c>
      <c r="Y50" s="80">
        <v>360353.74165783555</v>
      </c>
      <c r="Z50" s="80">
        <v>381974.96615730569</v>
      </c>
      <c r="AA50" s="80">
        <v>404893.46412674407</v>
      </c>
      <c r="AB50" s="80">
        <v>404893.46412674407</v>
      </c>
      <c r="AC50" s="80">
        <f t="shared" si="14"/>
        <v>5572984.6636992199</v>
      </c>
    </row>
    <row r="51" spans="1:29" ht="15.75" hidden="1">
      <c r="A51" s="55"/>
      <c r="B51" s="136" t="s">
        <v>81</v>
      </c>
      <c r="C51" s="55" t="s">
        <v>62</v>
      </c>
      <c r="D51" s="235"/>
      <c r="E51" s="235"/>
      <c r="F51" s="162">
        <f>12690.38784+156</f>
        <v>12846.387839999999</v>
      </c>
      <c r="G51" s="162">
        <f t="shared" ref="G51:AA51" si="41">G35-G35*0.87</f>
        <v>13358.911862399997</v>
      </c>
      <c r="H51" s="162">
        <f t="shared" si="41"/>
        <v>14160.446574144007</v>
      </c>
      <c r="I51" s="162">
        <f t="shared" si="41"/>
        <v>15010.073368592639</v>
      </c>
      <c r="J51" s="162">
        <f t="shared" si="41"/>
        <v>15910.677770708207</v>
      </c>
      <c r="K51" s="162">
        <f t="shared" si="41"/>
        <v>16865.318436950693</v>
      </c>
      <c r="L51" s="162">
        <f t="shared" si="41"/>
        <v>17877.237543167736</v>
      </c>
      <c r="M51" s="162">
        <f t="shared" si="41"/>
        <v>18949.871795757805</v>
      </c>
      <c r="N51" s="162">
        <f t="shared" si="41"/>
        <v>20086.864103503263</v>
      </c>
      <c r="O51" s="162">
        <f t="shared" si="41"/>
        <v>21292.075949713471</v>
      </c>
      <c r="P51" s="162">
        <f t="shared" si="41"/>
        <v>22569.600506696268</v>
      </c>
      <c r="Q51" s="181">
        <f t="shared" si="41"/>
        <v>23923.776537098049</v>
      </c>
      <c r="R51" s="75">
        <f t="shared" si="41"/>
        <v>25359.203129323927</v>
      </c>
      <c r="S51" s="75">
        <f t="shared" si="41"/>
        <v>26880.755317083385</v>
      </c>
      <c r="T51" s="75">
        <f t="shared" si="41"/>
        <v>28493.600636108371</v>
      </c>
      <c r="U51" s="75">
        <f t="shared" si="41"/>
        <v>30203.216674274881</v>
      </c>
      <c r="V51" s="75">
        <f t="shared" si="41"/>
        <v>32015.409674731374</v>
      </c>
      <c r="W51" s="75">
        <f t="shared" si="41"/>
        <v>33936.334255215275</v>
      </c>
      <c r="X51" s="75">
        <f t="shared" si="41"/>
        <v>35972.514310528175</v>
      </c>
      <c r="Y51" s="75">
        <f t="shared" si="41"/>
        <v>38130.865169159864</v>
      </c>
      <c r="Z51" s="75">
        <f t="shared" si="41"/>
        <v>40418.717079309456</v>
      </c>
      <c r="AA51" s="75">
        <f t="shared" si="41"/>
        <v>42843.840104068047</v>
      </c>
      <c r="AB51" s="155"/>
      <c r="AC51" s="155">
        <f t="shared" si="14"/>
        <v>547105.69863853487</v>
      </c>
    </row>
    <row r="52" spans="1:29" ht="15.75" hidden="1">
      <c r="A52" s="57"/>
      <c r="B52" s="137" t="s">
        <v>82</v>
      </c>
      <c r="C52" s="58"/>
      <c r="D52" s="235"/>
      <c r="E52" s="235"/>
      <c r="F52" s="162">
        <v>-3</v>
      </c>
      <c r="G52" s="162">
        <v>-89</v>
      </c>
      <c r="H52" s="162">
        <v>-56</v>
      </c>
      <c r="I52" s="162">
        <v>-43</v>
      </c>
      <c r="J52" s="162">
        <v>-54.5</v>
      </c>
      <c r="K52" s="162">
        <v>-6</v>
      </c>
      <c r="L52" s="162">
        <v>9</v>
      </c>
      <c r="M52" s="162">
        <v>3</v>
      </c>
      <c r="N52" s="162">
        <v>9.5</v>
      </c>
      <c r="O52" s="162">
        <v>-15</v>
      </c>
      <c r="P52" s="162">
        <v>-4</v>
      </c>
      <c r="Q52" s="183">
        <v>13</v>
      </c>
      <c r="R52" s="107">
        <v>-33</v>
      </c>
      <c r="S52" s="107">
        <v>46</v>
      </c>
      <c r="T52" s="107">
        <v>9</v>
      </c>
      <c r="U52" s="107">
        <v>-21</v>
      </c>
      <c r="V52" s="107">
        <v>-9</v>
      </c>
      <c r="W52" s="107">
        <v>41</v>
      </c>
      <c r="X52" s="107">
        <v>13</v>
      </c>
      <c r="Y52" s="107">
        <v>9</v>
      </c>
      <c r="Z52" s="107">
        <v>-8</v>
      </c>
      <c r="AA52" s="107">
        <v>-17.5</v>
      </c>
      <c r="AB52" s="155"/>
      <c r="AC52" s="155">
        <f t="shared" si="14"/>
        <v>-206.5</v>
      </c>
    </row>
    <row r="53" spans="1:29" ht="15.75">
      <c r="A53" s="62" t="s">
        <v>153</v>
      </c>
      <c r="B53" s="75" t="s">
        <v>83</v>
      </c>
      <c r="C53" s="51"/>
      <c r="D53" s="235">
        <v>362.4</v>
      </c>
      <c r="E53" s="235">
        <v>384.14400000000001</v>
      </c>
      <c r="F53" s="162">
        <v>29277.150816000005</v>
      </c>
      <c r="G53" s="162">
        <v>31033.779864960001</v>
      </c>
      <c r="H53" s="162">
        <v>32895.806656857603</v>
      </c>
      <c r="I53" s="162">
        <v>34869.555056269055</v>
      </c>
      <c r="J53" s="162">
        <v>36961.728359645203</v>
      </c>
      <c r="K53" s="162">
        <v>39179.432061223917</v>
      </c>
      <c r="L53" s="162">
        <v>41530.197984897357</v>
      </c>
      <c r="M53" s="162">
        <v>44022.009863991196</v>
      </c>
      <c r="N53" s="162">
        <v>46663.330455830685</v>
      </c>
      <c r="O53" s="162">
        <v>49463.130283180501</v>
      </c>
      <c r="P53" s="162">
        <v>52430.918100171351</v>
      </c>
      <c r="Q53" s="162">
        <v>55576.773186181636</v>
      </c>
      <c r="R53" s="162">
        <v>58911.379577352534</v>
      </c>
      <c r="S53" s="162">
        <v>62446.062351993678</v>
      </c>
      <c r="T53" s="162">
        <v>66192.826093113312</v>
      </c>
      <c r="U53" s="162">
        <v>70164.395658700116</v>
      </c>
      <c r="V53" s="162">
        <v>74374.25939822213</v>
      </c>
      <c r="W53" s="162">
        <v>78836.714962115453</v>
      </c>
      <c r="X53" s="162">
        <v>83566.917859842375</v>
      </c>
      <c r="Y53" s="162">
        <v>88580.932931432937</v>
      </c>
      <c r="Z53" s="162">
        <v>93895.788907318929</v>
      </c>
      <c r="AA53" s="162">
        <v>99529.536241758062</v>
      </c>
      <c r="AB53" s="162">
        <v>105501.30841626355</v>
      </c>
      <c r="AC53" s="162">
        <f t="shared" si="14"/>
        <v>1376650.4790873216</v>
      </c>
    </row>
    <row r="54" spans="1:29" ht="30">
      <c r="A54" s="62" t="s">
        <v>154</v>
      </c>
      <c r="B54" s="127" t="s">
        <v>84</v>
      </c>
      <c r="C54" s="55" t="s">
        <v>62</v>
      </c>
      <c r="D54" s="55"/>
      <c r="E54" s="55"/>
      <c r="F54" s="164">
        <v>10308.090688153097</v>
      </c>
      <c r="G54" s="164">
        <v>10720.414315679222</v>
      </c>
      <c r="H54" s="165">
        <v>11149.230888306391</v>
      </c>
      <c r="I54" s="164">
        <v>11595.200123838647</v>
      </c>
      <c r="J54" s="164">
        <v>12059.008128792193</v>
      </c>
      <c r="K54" s="164">
        <v>12541.368453943882</v>
      </c>
      <c r="L54" s="164">
        <v>13043.023192101638</v>
      </c>
      <c r="M54" s="164">
        <v>13564.744119785704</v>
      </c>
      <c r="N54" s="164">
        <v>14107.333884577132</v>
      </c>
      <c r="O54" s="165">
        <v>14671.627239960219</v>
      </c>
      <c r="P54" s="164">
        <v>15258.492329558629</v>
      </c>
      <c r="Q54" s="164">
        <v>15868.832022740975</v>
      </c>
      <c r="R54" s="164">
        <v>16503.585303650616</v>
      </c>
      <c r="S54" s="164">
        <v>17163.728715796642</v>
      </c>
      <c r="T54" s="164">
        <v>17850.27786442851</v>
      </c>
      <c r="U54" s="164">
        <v>18564.288979005651</v>
      </c>
      <c r="V54" s="164">
        <v>19306.860538165878</v>
      </c>
      <c r="W54" s="164">
        <v>20079.134959692514</v>
      </c>
      <c r="X54" s="164">
        <v>20882.300358080214</v>
      </c>
      <c r="Y54" s="164">
        <v>21717.592372403422</v>
      </c>
      <c r="Z54" s="164">
        <v>22586.296067299558</v>
      </c>
      <c r="AA54" s="164">
        <v>23489.74790999154</v>
      </c>
      <c r="AB54" s="164">
        <v>24429.337826391202</v>
      </c>
      <c r="AC54" s="164">
        <f t="shared" si="14"/>
        <v>377460.51628234342</v>
      </c>
    </row>
    <row r="55" spans="1:29" ht="15.75" hidden="1">
      <c r="A55" s="53"/>
      <c r="B55" s="138" t="s">
        <v>85</v>
      </c>
      <c r="C55" s="59" t="s">
        <v>62</v>
      </c>
      <c r="D55" s="59"/>
      <c r="E55" s="59"/>
      <c r="F55" s="185"/>
      <c r="G55" s="179">
        <f t="shared" ref="G55:AA64" si="42">F55*G$33</f>
        <v>0</v>
      </c>
      <c r="H55" s="180">
        <f t="shared" si="42"/>
        <v>0</v>
      </c>
      <c r="I55" s="179">
        <f t="shared" si="42"/>
        <v>0</v>
      </c>
      <c r="J55" s="179">
        <f t="shared" si="42"/>
        <v>0</v>
      </c>
      <c r="K55" s="179">
        <f t="shared" si="42"/>
        <v>0</v>
      </c>
      <c r="L55" s="179">
        <f t="shared" si="42"/>
        <v>0</v>
      </c>
      <c r="M55" s="179">
        <f t="shared" si="42"/>
        <v>0</v>
      </c>
      <c r="N55" s="179">
        <f t="shared" si="42"/>
        <v>0</v>
      </c>
      <c r="O55" s="180">
        <f t="shared" si="42"/>
        <v>0</v>
      </c>
      <c r="P55" s="179">
        <f t="shared" si="42"/>
        <v>0</v>
      </c>
      <c r="Q55" s="179">
        <f t="shared" si="42"/>
        <v>0</v>
      </c>
      <c r="R55" s="108">
        <f t="shared" si="42"/>
        <v>0</v>
      </c>
      <c r="S55" s="108">
        <f t="shared" si="42"/>
        <v>0</v>
      </c>
      <c r="T55" s="108">
        <f t="shared" si="42"/>
        <v>0</v>
      </c>
      <c r="U55" s="108">
        <f t="shared" si="42"/>
        <v>0</v>
      </c>
      <c r="V55" s="108">
        <f t="shared" si="42"/>
        <v>0</v>
      </c>
      <c r="W55" s="108">
        <f t="shared" si="42"/>
        <v>0</v>
      </c>
      <c r="X55" s="108">
        <f t="shared" si="42"/>
        <v>0</v>
      </c>
      <c r="Y55" s="108">
        <f t="shared" si="42"/>
        <v>0</v>
      </c>
      <c r="Z55" s="108">
        <f t="shared" si="42"/>
        <v>0</v>
      </c>
      <c r="AA55" s="108">
        <f t="shared" si="42"/>
        <v>0</v>
      </c>
      <c r="AB55" s="106"/>
      <c r="AC55" s="106">
        <f t="shared" si="14"/>
        <v>0</v>
      </c>
    </row>
    <row r="56" spans="1:29" ht="15.75" hidden="1">
      <c r="A56" s="53"/>
      <c r="B56" s="138" t="s">
        <v>86</v>
      </c>
      <c r="C56" s="59" t="s">
        <v>62</v>
      </c>
      <c r="D56" s="59"/>
      <c r="E56" s="59"/>
      <c r="F56" s="185"/>
      <c r="G56" s="179">
        <f t="shared" si="42"/>
        <v>0</v>
      </c>
      <c r="H56" s="180">
        <f t="shared" si="42"/>
        <v>0</v>
      </c>
      <c r="I56" s="179">
        <f t="shared" si="42"/>
        <v>0</v>
      </c>
      <c r="J56" s="179">
        <f t="shared" si="42"/>
        <v>0</v>
      </c>
      <c r="K56" s="179">
        <f t="shared" si="42"/>
        <v>0</v>
      </c>
      <c r="L56" s="179">
        <f t="shared" si="42"/>
        <v>0</v>
      </c>
      <c r="M56" s="179">
        <f t="shared" si="42"/>
        <v>0</v>
      </c>
      <c r="N56" s="179">
        <f t="shared" si="42"/>
        <v>0</v>
      </c>
      <c r="O56" s="180">
        <f t="shared" si="42"/>
        <v>0</v>
      </c>
      <c r="P56" s="179">
        <f t="shared" si="42"/>
        <v>0</v>
      </c>
      <c r="Q56" s="179">
        <f t="shared" si="42"/>
        <v>0</v>
      </c>
      <c r="R56" s="108">
        <f t="shared" si="42"/>
        <v>0</v>
      </c>
      <c r="S56" s="108">
        <f t="shared" si="42"/>
        <v>0</v>
      </c>
      <c r="T56" s="108">
        <f t="shared" si="42"/>
        <v>0</v>
      </c>
      <c r="U56" s="108">
        <f t="shared" si="42"/>
        <v>0</v>
      </c>
      <c r="V56" s="108">
        <f t="shared" si="42"/>
        <v>0</v>
      </c>
      <c r="W56" s="108">
        <f t="shared" si="42"/>
        <v>0</v>
      </c>
      <c r="X56" s="108">
        <f t="shared" si="42"/>
        <v>0</v>
      </c>
      <c r="Y56" s="108">
        <f t="shared" si="42"/>
        <v>0</v>
      </c>
      <c r="Z56" s="108">
        <f t="shared" si="42"/>
        <v>0</v>
      </c>
      <c r="AA56" s="108">
        <f t="shared" si="42"/>
        <v>0</v>
      </c>
      <c r="AB56" s="106"/>
      <c r="AC56" s="106">
        <f t="shared" si="14"/>
        <v>0</v>
      </c>
    </row>
    <row r="57" spans="1:29" ht="30" hidden="1">
      <c r="A57" s="53"/>
      <c r="B57" s="139" t="s">
        <v>87</v>
      </c>
      <c r="C57" s="59" t="s">
        <v>62</v>
      </c>
      <c r="D57" s="59"/>
      <c r="E57" s="59"/>
      <c r="F57" s="185"/>
      <c r="G57" s="179">
        <f t="shared" si="42"/>
        <v>0</v>
      </c>
      <c r="H57" s="180">
        <f t="shared" si="42"/>
        <v>0</v>
      </c>
      <c r="I57" s="179">
        <f t="shared" si="42"/>
        <v>0</v>
      </c>
      <c r="J57" s="179">
        <f t="shared" si="42"/>
        <v>0</v>
      </c>
      <c r="K57" s="179">
        <f t="shared" si="42"/>
        <v>0</v>
      </c>
      <c r="L57" s="179">
        <f t="shared" si="42"/>
        <v>0</v>
      </c>
      <c r="M57" s="179">
        <f t="shared" si="42"/>
        <v>0</v>
      </c>
      <c r="N57" s="179">
        <f t="shared" si="42"/>
        <v>0</v>
      </c>
      <c r="O57" s="180">
        <f t="shared" si="42"/>
        <v>0</v>
      </c>
      <c r="P57" s="179">
        <f t="shared" si="42"/>
        <v>0</v>
      </c>
      <c r="Q57" s="179">
        <f t="shared" si="42"/>
        <v>0</v>
      </c>
      <c r="R57" s="108">
        <f t="shared" si="42"/>
        <v>0</v>
      </c>
      <c r="S57" s="108">
        <f t="shared" si="42"/>
        <v>0</v>
      </c>
      <c r="T57" s="108">
        <f t="shared" si="42"/>
        <v>0</v>
      </c>
      <c r="U57" s="108">
        <f t="shared" si="42"/>
        <v>0</v>
      </c>
      <c r="V57" s="108">
        <f t="shared" si="42"/>
        <v>0</v>
      </c>
      <c r="W57" s="108">
        <f t="shared" si="42"/>
        <v>0</v>
      </c>
      <c r="X57" s="108">
        <f t="shared" si="42"/>
        <v>0</v>
      </c>
      <c r="Y57" s="108">
        <f t="shared" si="42"/>
        <v>0</v>
      </c>
      <c r="Z57" s="108">
        <f t="shared" si="42"/>
        <v>0</v>
      </c>
      <c r="AA57" s="108">
        <f t="shared" si="42"/>
        <v>0</v>
      </c>
      <c r="AB57" s="106"/>
      <c r="AC57" s="106">
        <f t="shared" si="14"/>
        <v>0</v>
      </c>
    </row>
    <row r="58" spans="1:29" ht="15.75" hidden="1">
      <c r="A58" s="53"/>
      <c r="B58" s="138" t="s">
        <v>88</v>
      </c>
      <c r="C58" s="59" t="s">
        <v>62</v>
      </c>
      <c r="D58" s="59"/>
      <c r="E58" s="59"/>
      <c r="F58" s="185"/>
      <c r="G58" s="179">
        <f t="shared" si="42"/>
        <v>0</v>
      </c>
      <c r="H58" s="180">
        <f t="shared" si="42"/>
        <v>0</v>
      </c>
      <c r="I58" s="179">
        <f t="shared" si="42"/>
        <v>0</v>
      </c>
      <c r="J58" s="179">
        <f t="shared" si="42"/>
        <v>0</v>
      </c>
      <c r="K58" s="179">
        <f t="shared" si="42"/>
        <v>0</v>
      </c>
      <c r="L58" s="179">
        <f t="shared" si="42"/>
        <v>0</v>
      </c>
      <c r="M58" s="179">
        <f t="shared" si="42"/>
        <v>0</v>
      </c>
      <c r="N58" s="179">
        <f t="shared" si="42"/>
        <v>0</v>
      </c>
      <c r="O58" s="180">
        <f t="shared" si="42"/>
        <v>0</v>
      </c>
      <c r="P58" s="179">
        <f t="shared" si="42"/>
        <v>0</v>
      </c>
      <c r="Q58" s="179">
        <f t="shared" si="42"/>
        <v>0</v>
      </c>
      <c r="R58" s="108">
        <f t="shared" si="42"/>
        <v>0</v>
      </c>
      <c r="S58" s="108">
        <f t="shared" si="42"/>
        <v>0</v>
      </c>
      <c r="T58" s="108">
        <f t="shared" si="42"/>
        <v>0</v>
      </c>
      <c r="U58" s="108">
        <f t="shared" si="42"/>
        <v>0</v>
      </c>
      <c r="V58" s="108">
        <f t="shared" si="42"/>
        <v>0</v>
      </c>
      <c r="W58" s="108">
        <f t="shared" si="42"/>
        <v>0</v>
      </c>
      <c r="X58" s="108">
        <f t="shared" si="42"/>
        <v>0</v>
      </c>
      <c r="Y58" s="108">
        <f t="shared" si="42"/>
        <v>0</v>
      </c>
      <c r="Z58" s="108">
        <f t="shared" si="42"/>
        <v>0</v>
      </c>
      <c r="AA58" s="108">
        <f t="shared" si="42"/>
        <v>0</v>
      </c>
      <c r="AB58" s="106"/>
      <c r="AC58" s="106">
        <f t="shared" si="14"/>
        <v>0</v>
      </c>
    </row>
    <row r="59" spans="1:29" ht="15.75" hidden="1">
      <c r="A59" s="53"/>
      <c r="B59" s="108" t="s">
        <v>89</v>
      </c>
      <c r="C59" s="59" t="s">
        <v>62</v>
      </c>
      <c r="D59" s="59"/>
      <c r="E59" s="59"/>
      <c r="F59" s="185"/>
      <c r="G59" s="179">
        <f t="shared" si="42"/>
        <v>0</v>
      </c>
      <c r="H59" s="180">
        <f t="shared" si="42"/>
        <v>0</v>
      </c>
      <c r="I59" s="179">
        <f t="shared" si="42"/>
        <v>0</v>
      </c>
      <c r="J59" s="179">
        <f t="shared" si="42"/>
        <v>0</v>
      </c>
      <c r="K59" s="179">
        <f t="shared" si="42"/>
        <v>0</v>
      </c>
      <c r="L59" s="179">
        <f t="shared" si="42"/>
        <v>0</v>
      </c>
      <c r="M59" s="179">
        <f t="shared" si="42"/>
        <v>0</v>
      </c>
      <c r="N59" s="179">
        <f t="shared" si="42"/>
        <v>0</v>
      </c>
      <c r="O59" s="180">
        <f t="shared" si="42"/>
        <v>0</v>
      </c>
      <c r="P59" s="179">
        <f t="shared" si="42"/>
        <v>0</v>
      </c>
      <c r="Q59" s="179">
        <f t="shared" si="42"/>
        <v>0</v>
      </c>
      <c r="R59" s="108">
        <f t="shared" si="42"/>
        <v>0</v>
      </c>
      <c r="S59" s="108">
        <f t="shared" si="42"/>
        <v>0</v>
      </c>
      <c r="T59" s="108">
        <f t="shared" si="42"/>
        <v>0</v>
      </c>
      <c r="U59" s="108">
        <f t="shared" si="42"/>
        <v>0</v>
      </c>
      <c r="V59" s="108">
        <f t="shared" si="42"/>
        <v>0</v>
      </c>
      <c r="W59" s="108">
        <f t="shared" si="42"/>
        <v>0</v>
      </c>
      <c r="X59" s="108">
        <f t="shared" si="42"/>
        <v>0</v>
      </c>
      <c r="Y59" s="108">
        <f t="shared" si="42"/>
        <v>0</v>
      </c>
      <c r="Z59" s="108">
        <f t="shared" si="42"/>
        <v>0</v>
      </c>
      <c r="AA59" s="108">
        <f t="shared" si="42"/>
        <v>0</v>
      </c>
      <c r="AB59" s="106"/>
      <c r="AC59" s="106">
        <f t="shared" si="14"/>
        <v>0</v>
      </c>
    </row>
    <row r="60" spans="1:29" ht="15.75" hidden="1">
      <c r="A60" s="53"/>
      <c r="B60" s="138" t="s">
        <v>90</v>
      </c>
      <c r="C60" s="59" t="s">
        <v>62</v>
      </c>
      <c r="D60" s="59"/>
      <c r="E60" s="59"/>
      <c r="F60" s="185"/>
      <c r="G60" s="179">
        <f t="shared" si="42"/>
        <v>0</v>
      </c>
      <c r="H60" s="180">
        <f t="shared" si="42"/>
        <v>0</v>
      </c>
      <c r="I60" s="179">
        <f t="shared" si="42"/>
        <v>0</v>
      </c>
      <c r="J60" s="179">
        <f t="shared" si="42"/>
        <v>0</v>
      </c>
      <c r="K60" s="179">
        <f t="shared" si="42"/>
        <v>0</v>
      </c>
      <c r="L60" s="179">
        <f t="shared" si="42"/>
        <v>0</v>
      </c>
      <c r="M60" s="179">
        <f t="shared" si="42"/>
        <v>0</v>
      </c>
      <c r="N60" s="179">
        <f t="shared" si="42"/>
        <v>0</v>
      </c>
      <c r="O60" s="180">
        <f t="shared" si="42"/>
        <v>0</v>
      </c>
      <c r="P60" s="179">
        <f t="shared" si="42"/>
        <v>0</v>
      </c>
      <c r="Q60" s="179">
        <f t="shared" si="42"/>
        <v>0</v>
      </c>
      <c r="R60" s="108">
        <f t="shared" si="42"/>
        <v>0</v>
      </c>
      <c r="S60" s="108">
        <f t="shared" si="42"/>
        <v>0</v>
      </c>
      <c r="T60" s="108">
        <f t="shared" si="42"/>
        <v>0</v>
      </c>
      <c r="U60" s="108">
        <f t="shared" si="42"/>
        <v>0</v>
      </c>
      <c r="V60" s="108">
        <f t="shared" si="42"/>
        <v>0</v>
      </c>
      <c r="W60" s="108">
        <f t="shared" si="42"/>
        <v>0</v>
      </c>
      <c r="X60" s="108">
        <f t="shared" si="42"/>
        <v>0</v>
      </c>
      <c r="Y60" s="108">
        <f t="shared" si="42"/>
        <v>0</v>
      </c>
      <c r="Z60" s="108">
        <f t="shared" si="42"/>
        <v>0</v>
      </c>
      <c r="AA60" s="108">
        <f t="shared" si="42"/>
        <v>0</v>
      </c>
      <c r="AB60" s="106"/>
      <c r="AC60" s="106">
        <f t="shared" si="14"/>
        <v>0</v>
      </c>
    </row>
    <row r="61" spans="1:29" ht="15.75" hidden="1">
      <c r="A61" s="53"/>
      <c r="B61" s="138" t="s">
        <v>91</v>
      </c>
      <c r="C61" s="59" t="s">
        <v>62</v>
      </c>
      <c r="D61" s="59"/>
      <c r="E61" s="59"/>
      <c r="F61" s="185"/>
      <c r="G61" s="179">
        <f t="shared" si="42"/>
        <v>0</v>
      </c>
      <c r="H61" s="180">
        <f t="shared" si="42"/>
        <v>0</v>
      </c>
      <c r="I61" s="179">
        <f t="shared" si="42"/>
        <v>0</v>
      </c>
      <c r="J61" s="179">
        <f t="shared" si="42"/>
        <v>0</v>
      </c>
      <c r="K61" s="179">
        <f t="shared" si="42"/>
        <v>0</v>
      </c>
      <c r="L61" s="179">
        <f t="shared" si="42"/>
        <v>0</v>
      </c>
      <c r="M61" s="179">
        <f t="shared" si="42"/>
        <v>0</v>
      </c>
      <c r="N61" s="179">
        <f t="shared" si="42"/>
        <v>0</v>
      </c>
      <c r="O61" s="180">
        <f t="shared" si="42"/>
        <v>0</v>
      </c>
      <c r="P61" s="179">
        <f t="shared" si="42"/>
        <v>0</v>
      </c>
      <c r="Q61" s="179">
        <f t="shared" si="42"/>
        <v>0</v>
      </c>
      <c r="R61" s="108">
        <f t="shared" si="42"/>
        <v>0</v>
      </c>
      <c r="S61" s="108">
        <f t="shared" si="42"/>
        <v>0</v>
      </c>
      <c r="T61" s="108">
        <f t="shared" si="42"/>
        <v>0</v>
      </c>
      <c r="U61" s="108">
        <f t="shared" si="42"/>
        <v>0</v>
      </c>
      <c r="V61" s="108">
        <f t="shared" si="42"/>
        <v>0</v>
      </c>
      <c r="W61" s="108">
        <f t="shared" si="42"/>
        <v>0</v>
      </c>
      <c r="X61" s="108">
        <f t="shared" si="42"/>
        <v>0</v>
      </c>
      <c r="Y61" s="108">
        <f t="shared" si="42"/>
        <v>0</v>
      </c>
      <c r="Z61" s="108">
        <f t="shared" si="42"/>
        <v>0</v>
      </c>
      <c r="AA61" s="108">
        <f t="shared" si="42"/>
        <v>0</v>
      </c>
      <c r="AB61" s="106"/>
      <c r="AC61" s="106">
        <f t="shared" si="14"/>
        <v>0</v>
      </c>
    </row>
    <row r="62" spans="1:29" ht="15.75" hidden="1">
      <c r="A62" s="53"/>
      <c r="B62" s="138" t="s">
        <v>92</v>
      </c>
      <c r="C62" s="59" t="s">
        <v>62</v>
      </c>
      <c r="D62" s="59"/>
      <c r="E62" s="59"/>
      <c r="F62" s="185"/>
      <c r="G62" s="179">
        <f t="shared" si="42"/>
        <v>0</v>
      </c>
      <c r="H62" s="180">
        <f t="shared" si="42"/>
        <v>0</v>
      </c>
      <c r="I62" s="179">
        <f t="shared" si="42"/>
        <v>0</v>
      </c>
      <c r="J62" s="179">
        <f t="shared" si="42"/>
        <v>0</v>
      </c>
      <c r="K62" s="179">
        <f t="shared" si="42"/>
        <v>0</v>
      </c>
      <c r="L62" s="179">
        <f t="shared" si="42"/>
        <v>0</v>
      </c>
      <c r="M62" s="179">
        <f t="shared" si="42"/>
        <v>0</v>
      </c>
      <c r="N62" s="179">
        <f t="shared" si="42"/>
        <v>0</v>
      </c>
      <c r="O62" s="180">
        <f t="shared" si="42"/>
        <v>0</v>
      </c>
      <c r="P62" s="179">
        <f t="shared" si="42"/>
        <v>0</v>
      </c>
      <c r="Q62" s="179">
        <f t="shared" si="42"/>
        <v>0</v>
      </c>
      <c r="R62" s="108">
        <f t="shared" si="42"/>
        <v>0</v>
      </c>
      <c r="S62" s="108">
        <f t="shared" si="42"/>
        <v>0</v>
      </c>
      <c r="T62" s="108">
        <f t="shared" si="42"/>
        <v>0</v>
      </c>
      <c r="U62" s="108">
        <f t="shared" si="42"/>
        <v>0</v>
      </c>
      <c r="V62" s="108">
        <f t="shared" si="42"/>
        <v>0</v>
      </c>
      <c r="W62" s="108">
        <f t="shared" si="42"/>
        <v>0</v>
      </c>
      <c r="X62" s="108">
        <f t="shared" si="42"/>
        <v>0</v>
      </c>
      <c r="Y62" s="108">
        <f t="shared" si="42"/>
        <v>0</v>
      </c>
      <c r="Z62" s="108">
        <f t="shared" si="42"/>
        <v>0</v>
      </c>
      <c r="AA62" s="108">
        <f t="shared" si="42"/>
        <v>0</v>
      </c>
      <c r="AB62" s="106"/>
      <c r="AC62" s="106">
        <f t="shared" si="14"/>
        <v>0</v>
      </c>
    </row>
    <row r="63" spans="1:29" ht="15.75" hidden="1">
      <c r="A63" s="53"/>
      <c r="B63" s="108" t="s">
        <v>93</v>
      </c>
      <c r="C63" s="59" t="s">
        <v>62</v>
      </c>
      <c r="D63" s="59"/>
      <c r="E63" s="59"/>
      <c r="F63" s="185"/>
      <c r="G63" s="179">
        <f t="shared" si="42"/>
        <v>0</v>
      </c>
      <c r="H63" s="180">
        <f t="shared" si="42"/>
        <v>0</v>
      </c>
      <c r="I63" s="179">
        <f t="shared" si="42"/>
        <v>0</v>
      </c>
      <c r="J63" s="179">
        <f t="shared" si="42"/>
        <v>0</v>
      </c>
      <c r="K63" s="179">
        <f t="shared" si="42"/>
        <v>0</v>
      </c>
      <c r="L63" s="179">
        <f t="shared" si="42"/>
        <v>0</v>
      </c>
      <c r="M63" s="179">
        <f t="shared" si="42"/>
        <v>0</v>
      </c>
      <c r="N63" s="179">
        <f t="shared" si="42"/>
        <v>0</v>
      </c>
      <c r="O63" s="180">
        <f t="shared" si="42"/>
        <v>0</v>
      </c>
      <c r="P63" s="179">
        <f t="shared" si="42"/>
        <v>0</v>
      </c>
      <c r="Q63" s="179">
        <f t="shared" si="42"/>
        <v>0</v>
      </c>
      <c r="R63" s="108">
        <f t="shared" si="42"/>
        <v>0</v>
      </c>
      <c r="S63" s="108">
        <f t="shared" si="42"/>
        <v>0</v>
      </c>
      <c r="T63" s="108">
        <f t="shared" si="42"/>
        <v>0</v>
      </c>
      <c r="U63" s="108">
        <f t="shared" si="42"/>
        <v>0</v>
      </c>
      <c r="V63" s="108">
        <f t="shared" si="42"/>
        <v>0</v>
      </c>
      <c r="W63" s="108">
        <f t="shared" si="42"/>
        <v>0</v>
      </c>
      <c r="X63" s="108">
        <f t="shared" si="42"/>
        <v>0</v>
      </c>
      <c r="Y63" s="108">
        <f t="shared" si="42"/>
        <v>0</v>
      </c>
      <c r="Z63" s="108">
        <f t="shared" si="42"/>
        <v>0</v>
      </c>
      <c r="AA63" s="108">
        <f t="shared" si="42"/>
        <v>0</v>
      </c>
      <c r="AB63" s="106"/>
      <c r="AC63" s="106">
        <f t="shared" si="14"/>
        <v>0</v>
      </c>
    </row>
    <row r="64" spans="1:29" ht="15.75" hidden="1">
      <c r="A64" s="53"/>
      <c r="B64" s="80" t="s">
        <v>94</v>
      </c>
      <c r="C64" s="53" t="s">
        <v>62</v>
      </c>
      <c r="D64" s="53"/>
      <c r="E64" s="53"/>
      <c r="F64" s="185"/>
      <c r="G64" s="179">
        <f t="shared" si="42"/>
        <v>0</v>
      </c>
      <c r="H64" s="180">
        <f t="shared" si="42"/>
        <v>0</v>
      </c>
      <c r="I64" s="179">
        <f t="shared" si="42"/>
        <v>0</v>
      </c>
      <c r="J64" s="179">
        <f t="shared" si="42"/>
        <v>0</v>
      </c>
      <c r="K64" s="179">
        <f t="shared" si="42"/>
        <v>0</v>
      </c>
      <c r="L64" s="179">
        <f t="shared" si="42"/>
        <v>0</v>
      </c>
      <c r="M64" s="179">
        <f t="shared" si="42"/>
        <v>0</v>
      </c>
      <c r="N64" s="179">
        <f t="shared" si="42"/>
        <v>0</v>
      </c>
      <c r="O64" s="180">
        <f t="shared" si="42"/>
        <v>0</v>
      </c>
      <c r="P64" s="179">
        <f t="shared" si="42"/>
        <v>0</v>
      </c>
      <c r="Q64" s="179">
        <f t="shared" si="42"/>
        <v>0</v>
      </c>
      <c r="R64" s="80">
        <f t="shared" si="42"/>
        <v>0</v>
      </c>
      <c r="S64" s="80">
        <f t="shared" si="42"/>
        <v>0</v>
      </c>
      <c r="T64" s="80">
        <f t="shared" si="42"/>
        <v>0</v>
      </c>
      <c r="U64" s="80">
        <f t="shared" si="42"/>
        <v>0</v>
      </c>
      <c r="V64" s="80">
        <f t="shared" si="42"/>
        <v>0</v>
      </c>
      <c r="W64" s="80">
        <f t="shared" si="42"/>
        <v>0</v>
      </c>
      <c r="X64" s="80">
        <f t="shared" si="42"/>
        <v>0</v>
      </c>
      <c r="Y64" s="80">
        <f t="shared" si="42"/>
        <v>0</v>
      </c>
      <c r="Z64" s="80">
        <f t="shared" si="42"/>
        <v>0</v>
      </c>
      <c r="AA64" s="80">
        <f t="shared" si="42"/>
        <v>0</v>
      </c>
      <c r="AB64" s="106"/>
      <c r="AC64" s="106">
        <f t="shared" si="14"/>
        <v>0</v>
      </c>
    </row>
    <row r="65" spans="1:29" ht="90">
      <c r="A65" s="62" t="s">
        <v>155</v>
      </c>
      <c r="B65" s="127" t="s">
        <v>95</v>
      </c>
      <c r="C65" s="55" t="s">
        <v>62</v>
      </c>
      <c r="D65" s="55"/>
      <c r="E65" s="55"/>
      <c r="F65" s="158">
        <v>2181.6416005735568</v>
      </c>
      <c r="G65" s="158">
        <v>2070.9815948555993</v>
      </c>
      <c r="H65" s="159">
        <v>1960.3215891376412</v>
      </c>
      <c r="I65" s="158">
        <v>1849.6615834196834</v>
      </c>
      <c r="J65" s="158">
        <v>1739.0015777017256</v>
      </c>
      <c r="K65" s="158">
        <v>1628.3415719837678</v>
      </c>
      <c r="L65" s="158">
        <v>1517.6815662658098</v>
      </c>
      <c r="M65" s="158">
        <v>1407.021560547852</v>
      </c>
      <c r="N65" s="158">
        <v>1296.3615548298942</v>
      </c>
      <c r="O65" s="159">
        <v>1185.7015491119364</v>
      </c>
      <c r="P65" s="158">
        <v>1087.9312216239784</v>
      </c>
      <c r="Q65" s="158">
        <v>1168.7472537884225</v>
      </c>
      <c r="R65" s="158">
        <v>1051.133997450198</v>
      </c>
      <c r="S65" s="158">
        <v>933.52074111197317</v>
      </c>
      <c r="T65" s="158">
        <v>815.90748477374848</v>
      </c>
      <c r="U65" s="158">
        <v>720.1898672155238</v>
      </c>
      <c r="V65" s="158">
        <v>624.47224965729913</v>
      </c>
      <c r="W65" s="158">
        <v>528.75463209907446</v>
      </c>
      <c r="X65" s="158">
        <v>433.03701454084978</v>
      </c>
      <c r="Y65" s="158">
        <v>337.31939698262511</v>
      </c>
      <c r="Z65" s="158">
        <v>241.60177942440043</v>
      </c>
      <c r="AA65" s="158">
        <v>165.72709071644263</v>
      </c>
      <c r="AB65" s="158">
        <v>89.85240200848483</v>
      </c>
      <c r="AC65" s="158">
        <f t="shared" si="14"/>
        <v>25034.910879820483</v>
      </c>
    </row>
    <row r="66" spans="1:29" ht="15.75" hidden="1">
      <c r="A66" s="53"/>
      <c r="B66" s="80" t="s">
        <v>96</v>
      </c>
      <c r="C66" s="53" t="s">
        <v>62</v>
      </c>
      <c r="D66" s="53"/>
      <c r="E66" s="53"/>
      <c r="F66" s="179">
        <v>2164.8850345347551</v>
      </c>
      <c r="G66" s="179">
        <f>[5]страх!G2</f>
        <v>0</v>
      </c>
      <c r="H66" s="180">
        <f>[5]страх!H2</f>
        <v>0</v>
      </c>
      <c r="I66" s="179">
        <f>[5]страх!I2</f>
        <v>0</v>
      </c>
      <c r="J66" s="179">
        <f>[5]страх!J2</f>
        <v>0</v>
      </c>
      <c r="K66" s="179">
        <f>[5]страх!K2</f>
        <v>0</v>
      </c>
      <c r="L66" s="179">
        <f>[5]страх!L2</f>
        <v>0</v>
      </c>
      <c r="M66" s="179">
        <f>[5]страх!M2</f>
        <v>0</v>
      </c>
      <c r="N66" s="179">
        <f>[5]страх!N2</f>
        <v>0</v>
      </c>
      <c r="O66" s="180">
        <f>[5]страх!O2</f>
        <v>0</v>
      </c>
      <c r="P66" s="179">
        <f>[5]страх!P2</f>
        <v>0</v>
      </c>
      <c r="Q66" s="179">
        <f>[5]страх!Q2</f>
        <v>0</v>
      </c>
      <c r="R66" s="80">
        <f>[5]страх!R2</f>
        <v>0</v>
      </c>
      <c r="S66" s="80">
        <f>[5]страх!S2</f>
        <v>0</v>
      </c>
      <c r="T66" s="80">
        <f>[5]страх!T2</f>
        <v>0</v>
      </c>
      <c r="U66" s="80">
        <f>[5]страх!U2</f>
        <v>0</v>
      </c>
      <c r="V66" s="80">
        <f>[5]страх!V2</f>
        <v>0</v>
      </c>
      <c r="W66" s="80">
        <f>[5]страх!W2</f>
        <v>0</v>
      </c>
      <c r="X66" s="80">
        <f>[5]страх!X2</f>
        <v>0</v>
      </c>
      <c r="Y66" s="80">
        <f>[5]страх!Y2</f>
        <v>0</v>
      </c>
      <c r="Z66" s="80">
        <f>[5]страх!Z2</f>
        <v>0</v>
      </c>
      <c r="AA66" s="80">
        <f>[5]страх!AA2</f>
        <v>0</v>
      </c>
      <c r="AB66" s="106"/>
      <c r="AC66" s="158">
        <f t="shared" si="14"/>
        <v>2164.8850345347551</v>
      </c>
    </row>
    <row r="67" spans="1:29" ht="15.75" hidden="1">
      <c r="A67" s="62" t="s">
        <v>156</v>
      </c>
      <c r="B67" s="75" t="s">
        <v>97</v>
      </c>
      <c r="C67" s="55" t="s">
        <v>62</v>
      </c>
      <c r="D67" s="51"/>
      <c r="E67" s="51"/>
      <c r="F67" s="177">
        <v>0</v>
      </c>
      <c r="G67" s="177">
        <v>0</v>
      </c>
      <c r="H67" s="178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0</v>
      </c>
      <c r="N67" s="177">
        <v>0</v>
      </c>
      <c r="O67" s="178">
        <v>0</v>
      </c>
      <c r="P67" s="177">
        <v>0</v>
      </c>
      <c r="Q67" s="177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158">
        <f t="shared" si="14"/>
        <v>0</v>
      </c>
    </row>
    <row r="68" spans="1:29" ht="30" hidden="1">
      <c r="A68" s="53"/>
      <c r="B68" s="140" t="s">
        <v>98</v>
      </c>
      <c r="C68" s="55" t="s">
        <v>62</v>
      </c>
      <c r="D68" s="55"/>
      <c r="E68" s="55"/>
      <c r="F68" s="179">
        <v>0</v>
      </c>
      <c r="G68" s="179">
        <v>0</v>
      </c>
      <c r="H68" s="180">
        <v>0</v>
      </c>
      <c r="I68" s="179">
        <v>0</v>
      </c>
      <c r="J68" s="179">
        <v>0</v>
      </c>
      <c r="K68" s="179">
        <v>0</v>
      </c>
      <c r="L68" s="179">
        <v>0</v>
      </c>
      <c r="M68" s="179">
        <v>0</v>
      </c>
      <c r="N68" s="179">
        <v>0</v>
      </c>
      <c r="O68" s="180">
        <v>0</v>
      </c>
      <c r="P68" s="179">
        <v>0</v>
      </c>
      <c r="Q68" s="179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158">
        <f t="shared" si="14"/>
        <v>0</v>
      </c>
    </row>
    <row r="69" spans="1:29" ht="15.75" hidden="1">
      <c r="A69" s="53"/>
      <c r="B69" s="141" t="s">
        <v>99</v>
      </c>
      <c r="C69" s="60" t="s">
        <v>62</v>
      </c>
      <c r="D69" s="60"/>
      <c r="E69" s="60"/>
      <c r="F69" s="179">
        <v>0</v>
      </c>
      <c r="G69" s="179">
        <v>0</v>
      </c>
      <c r="H69" s="180">
        <v>0</v>
      </c>
      <c r="I69" s="179">
        <v>0</v>
      </c>
      <c r="J69" s="179">
        <v>0</v>
      </c>
      <c r="K69" s="179">
        <v>0</v>
      </c>
      <c r="L69" s="179">
        <v>0</v>
      </c>
      <c r="M69" s="179">
        <v>0</v>
      </c>
      <c r="N69" s="179">
        <v>0</v>
      </c>
      <c r="O69" s="180">
        <v>0</v>
      </c>
      <c r="P69" s="179">
        <v>0</v>
      </c>
      <c r="Q69" s="179">
        <v>0</v>
      </c>
      <c r="R69" s="108">
        <v>0</v>
      </c>
      <c r="S69" s="108">
        <v>0</v>
      </c>
      <c r="T69" s="108">
        <v>0</v>
      </c>
      <c r="U69" s="108">
        <v>0</v>
      </c>
      <c r="V69" s="108">
        <v>0</v>
      </c>
      <c r="W69" s="108">
        <v>0</v>
      </c>
      <c r="X69" s="108">
        <v>0</v>
      </c>
      <c r="Y69" s="108">
        <v>0</v>
      </c>
      <c r="Z69" s="108">
        <v>0</v>
      </c>
      <c r="AA69" s="108">
        <v>0</v>
      </c>
      <c r="AB69" s="108">
        <v>0</v>
      </c>
      <c r="AC69" s="158">
        <f t="shared" si="14"/>
        <v>0</v>
      </c>
    </row>
    <row r="70" spans="1:29" ht="30" hidden="1">
      <c r="A70" s="53"/>
      <c r="B70" s="140" t="s">
        <v>100</v>
      </c>
      <c r="C70" s="55" t="s">
        <v>62</v>
      </c>
      <c r="D70" s="55"/>
      <c r="E70" s="55"/>
      <c r="F70" s="179">
        <v>0</v>
      </c>
      <c r="G70" s="179">
        <v>0</v>
      </c>
      <c r="H70" s="180">
        <v>0</v>
      </c>
      <c r="I70" s="179">
        <f t="shared" ref="I70:AB70" si="43">H70*I$33</f>
        <v>0</v>
      </c>
      <c r="J70" s="179">
        <f t="shared" si="43"/>
        <v>0</v>
      </c>
      <c r="K70" s="179">
        <f t="shared" si="43"/>
        <v>0</v>
      </c>
      <c r="L70" s="179">
        <f t="shared" si="43"/>
        <v>0</v>
      </c>
      <c r="M70" s="179">
        <f t="shared" si="43"/>
        <v>0</v>
      </c>
      <c r="N70" s="179">
        <f t="shared" si="43"/>
        <v>0</v>
      </c>
      <c r="O70" s="180">
        <f t="shared" si="43"/>
        <v>0</v>
      </c>
      <c r="P70" s="179">
        <f t="shared" si="43"/>
        <v>0</v>
      </c>
      <c r="Q70" s="179">
        <f t="shared" si="43"/>
        <v>0</v>
      </c>
      <c r="R70" s="80">
        <f t="shared" si="43"/>
        <v>0</v>
      </c>
      <c r="S70" s="80">
        <f t="shared" si="43"/>
        <v>0</v>
      </c>
      <c r="T70" s="80">
        <f t="shared" si="43"/>
        <v>0</v>
      </c>
      <c r="U70" s="80">
        <f t="shared" si="43"/>
        <v>0</v>
      </c>
      <c r="V70" s="80">
        <f t="shared" si="43"/>
        <v>0</v>
      </c>
      <c r="W70" s="80">
        <f t="shared" si="43"/>
        <v>0</v>
      </c>
      <c r="X70" s="80">
        <f t="shared" si="43"/>
        <v>0</v>
      </c>
      <c r="Y70" s="80">
        <f t="shared" si="43"/>
        <v>0</v>
      </c>
      <c r="Z70" s="80">
        <f t="shared" si="43"/>
        <v>0</v>
      </c>
      <c r="AA70" s="80">
        <f t="shared" si="43"/>
        <v>0</v>
      </c>
      <c r="AB70" s="80">
        <f t="shared" si="43"/>
        <v>0</v>
      </c>
      <c r="AC70" s="158">
        <f t="shared" si="14"/>
        <v>0</v>
      </c>
    </row>
    <row r="71" spans="1:29" ht="15.75" hidden="1">
      <c r="A71" s="53"/>
      <c r="B71" s="140" t="s">
        <v>101</v>
      </c>
      <c r="C71" s="55" t="s">
        <v>62</v>
      </c>
      <c r="D71" s="55"/>
      <c r="E71" s="55"/>
      <c r="F71" s="179">
        <v>0</v>
      </c>
      <c r="G71" s="179">
        <v>0</v>
      </c>
      <c r="H71" s="180">
        <v>0</v>
      </c>
      <c r="I71" s="179">
        <v>0</v>
      </c>
      <c r="J71" s="179">
        <v>0</v>
      </c>
      <c r="K71" s="179">
        <v>0</v>
      </c>
      <c r="L71" s="179">
        <v>0</v>
      </c>
      <c r="M71" s="179">
        <v>0</v>
      </c>
      <c r="N71" s="179">
        <v>0</v>
      </c>
      <c r="O71" s="180">
        <v>0</v>
      </c>
      <c r="P71" s="179">
        <v>0</v>
      </c>
      <c r="Q71" s="179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158">
        <f t="shared" si="14"/>
        <v>0</v>
      </c>
    </row>
    <row r="72" spans="1:29" ht="15.75">
      <c r="A72" s="65" t="s">
        <v>136</v>
      </c>
      <c r="B72" s="142" t="s">
        <v>102</v>
      </c>
      <c r="C72" s="66" t="s">
        <v>62</v>
      </c>
      <c r="D72" s="218">
        <f>D73+D79+D84</f>
        <v>2975.5545470396869</v>
      </c>
      <c r="E72" s="218">
        <f>E73+E79+E84</f>
        <v>3961.2777293862491</v>
      </c>
      <c r="F72" s="87">
        <f>F73+F79+F84</f>
        <v>30175.33757940065</v>
      </c>
      <c r="G72" s="166">
        <f t="shared" ref="G72:AB72" si="44">G73+G79+G84</f>
        <v>34199.782431491942</v>
      </c>
      <c r="H72" s="166">
        <f t="shared" si="44"/>
        <v>38541.9160047365</v>
      </c>
      <c r="I72" s="166">
        <f t="shared" si="44"/>
        <v>43227.883562953808</v>
      </c>
      <c r="J72" s="166">
        <f t="shared" si="44"/>
        <v>34290.39309120558</v>
      </c>
      <c r="K72" s="166">
        <f t="shared" si="44"/>
        <v>38146.199962102794</v>
      </c>
      <c r="L72" s="166">
        <f t="shared" si="44"/>
        <v>42258.409223250273</v>
      </c>
      <c r="M72" s="166">
        <f t="shared" si="44"/>
        <v>46644.645871523579</v>
      </c>
      <c r="N72" s="166">
        <f t="shared" si="44"/>
        <v>51323.809155281298</v>
      </c>
      <c r="O72" s="166">
        <f t="shared" si="44"/>
        <v>56316.171344435148</v>
      </c>
      <c r="P72" s="166">
        <f t="shared" si="44"/>
        <v>65223.951001664405</v>
      </c>
      <c r="Q72" s="166">
        <f t="shared" si="44"/>
        <v>6107.1884789054902</v>
      </c>
      <c r="R72" s="166">
        <f t="shared" si="44"/>
        <v>6117.7905142568452</v>
      </c>
      <c r="S72" s="166">
        <f t="shared" si="44"/>
        <v>6128.816631022255</v>
      </c>
      <c r="T72" s="166">
        <f t="shared" si="44"/>
        <v>6140.28379245828</v>
      </c>
      <c r="U72" s="166">
        <f t="shared" si="44"/>
        <v>6152.2096403517471</v>
      </c>
      <c r="V72" s="166">
        <f t="shared" si="44"/>
        <v>6164.6125221609527</v>
      </c>
      <c r="W72" s="166">
        <f t="shared" si="44"/>
        <v>6177.5115192425264</v>
      </c>
      <c r="X72" s="166">
        <f t="shared" si="44"/>
        <v>6190.9264762073635</v>
      </c>
      <c r="Y72" s="166">
        <f t="shared" si="44"/>
        <v>6924.0272863065693</v>
      </c>
      <c r="Z72" s="166">
        <f t="shared" si="44"/>
        <v>6219.3876489039603</v>
      </c>
      <c r="AA72" s="166">
        <f t="shared" si="44"/>
        <v>6234.4776510552547</v>
      </c>
      <c r="AB72" s="166">
        <f t="shared" si="44"/>
        <v>6250.1712532926003</v>
      </c>
      <c r="AC72" s="166">
        <f t="shared" ref="AC72:AC115" si="45">SUM(D72:AB72)</f>
        <v>562092.73491863569</v>
      </c>
    </row>
    <row r="73" spans="1:29" ht="15.75">
      <c r="A73" s="62" t="s">
        <v>157</v>
      </c>
      <c r="B73" s="127" t="s">
        <v>103</v>
      </c>
      <c r="C73" s="55" t="s">
        <v>62</v>
      </c>
      <c r="D73" s="55"/>
      <c r="E73" s="55"/>
      <c r="F73" s="167">
        <v>24332.199984279039</v>
      </c>
      <c r="G73" s="167">
        <v>28357.644836370331</v>
      </c>
      <c r="H73" s="168">
        <v>32699.778409614897</v>
      </c>
      <c r="I73" s="167">
        <v>37385.745967832205</v>
      </c>
      <c r="J73" s="167">
        <v>28448.255496083966</v>
      </c>
      <c r="K73" s="167">
        <v>32304.062366981187</v>
      </c>
      <c r="L73" s="167">
        <v>36416.27162812867</v>
      </c>
      <c r="M73" s="167">
        <v>40802.508276401968</v>
      </c>
      <c r="N73" s="167">
        <v>45481.671560159695</v>
      </c>
      <c r="O73" s="168">
        <v>50474.033749313545</v>
      </c>
      <c r="P73" s="167">
        <v>59381.813406542795</v>
      </c>
      <c r="Q73" s="167">
        <v>265.05088378387973</v>
      </c>
      <c r="R73" s="167">
        <v>275.65291913523492</v>
      </c>
      <c r="S73" s="167">
        <v>286.67903590064435</v>
      </c>
      <c r="T73" s="167">
        <v>298.14619733667013</v>
      </c>
      <c r="U73" s="167">
        <v>310.07204523013695</v>
      </c>
      <c r="V73" s="167">
        <v>322.47492703934245</v>
      </c>
      <c r="W73" s="167">
        <v>335.37392412091617</v>
      </c>
      <c r="X73" s="167">
        <v>348.78888108575285</v>
      </c>
      <c r="Y73" s="167">
        <v>1081.8896911849592</v>
      </c>
      <c r="Z73" s="167">
        <v>377.25005378235028</v>
      </c>
      <c r="AA73" s="167">
        <v>392.34005593364429</v>
      </c>
      <c r="AB73" s="167">
        <v>408.03365817099007</v>
      </c>
      <c r="AC73" s="167">
        <f t="shared" si="45"/>
        <v>420785.73795441288</v>
      </c>
    </row>
    <row r="74" spans="1:29" ht="15.75" hidden="1">
      <c r="A74" s="53"/>
      <c r="B74" s="133" t="s">
        <v>104</v>
      </c>
      <c r="C74" s="53" t="s">
        <v>62</v>
      </c>
      <c r="D74" s="53"/>
      <c r="E74" s="53"/>
      <c r="F74" s="186">
        <v>24283.927922107632</v>
      </c>
      <c r="G74" s="186">
        <v>28292.165253784347</v>
      </c>
      <c r="H74" s="187">
        <v>32615.628952160416</v>
      </c>
      <c r="I74" s="186">
        <v>37281.316770577119</v>
      </c>
      <c r="J74" s="186">
        <v>28328.407425225159</v>
      </c>
      <c r="K74" s="186">
        <v>32160.968876655403</v>
      </c>
      <c r="L74" s="186">
        <v>36247.863738589484</v>
      </c>
      <c r="M74" s="186">
        <v>40606.503244803273</v>
      </c>
      <c r="N74" s="186">
        <v>45255.549264571426</v>
      </c>
      <c r="O74" s="187">
        <v>50215.010395569276</v>
      </c>
      <c r="P74" s="186">
        <v>59085.090163587767</v>
      </c>
      <c r="Q74" s="186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671.26544554392967</v>
      </c>
      <c r="Z74" s="111">
        <v>0</v>
      </c>
      <c r="AA74" s="111">
        <v>0</v>
      </c>
      <c r="AB74" s="106">
        <v>0</v>
      </c>
      <c r="AC74" s="106">
        <f t="shared" si="45"/>
        <v>415043.69745317515</v>
      </c>
    </row>
    <row r="75" spans="1:29" ht="15.75" hidden="1">
      <c r="A75" s="53"/>
      <c r="B75" s="133" t="s">
        <v>105</v>
      </c>
      <c r="C75" s="53" t="s">
        <v>62</v>
      </c>
      <c r="D75" s="53"/>
      <c r="E75" s="53"/>
      <c r="F75" s="186">
        <v>0</v>
      </c>
      <c r="G75" s="186">
        <v>0</v>
      </c>
      <c r="H75" s="187">
        <v>0</v>
      </c>
      <c r="I75" s="186">
        <v>0</v>
      </c>
      <c r="J75" s="186">
        <v>0</v>
      </c>
      <c r="K75" s="186">
        <v>0</v>
      </c>
      <c r="L75" s="186">
        <v>0</v>
      </c>
      <c r="M75" s="186">
        <v>0</v>
      </c>
      <c r="N75" s="186">
        <v>0</v>
      </c>
      <c r="O75" s="187">
        <v>0</v>
      </c>
      <c r="P75" s="186">
        <v>0</v>
      </c>
      <c r="Q75" s="186">
        <v>0</v>
      </c>
      <c r="R75" s="111">
        <v>0</v>
      </c>
      <c r="S75" s="111">
        <v>0</v>
      </c>
      <c r="T75" s="111">
        <v>0</v>
      </c>
      <c r="U75" s="111">
        <v>0</v>
      </c>
      <c r="V75" s="111">
        <v>0</v>
      </c>
      <c r="W75" s="111">
        <v>0</v>
      </c>
      <c r="X75" s="111">
        <v>0</v>
      </c>
      <c r="Y75" s="111">
        <v>0</v>
      </c>
      <c r="Z75" s="111">
        <v>0</v>
      </c>
      <c r="AA75" s="111">
        <v>0</v>
      </c>
      <c r="AB75" s="106">
        <v>0</v>
      </c>
      <c r="AC75" s="106">
        <f t="shared" si="45"/>
        <v>0</v>
      </c>
    </row>
    <row r="76" spans="1:29" ht="15.75" hidden="1">
      <c r="A76" s="53"/>
      <c r="B76" s="143" t="s">
        <v>106</v>
      </c>
      <c r="C76" s="53" t="s">
        <v>62</v>
      </c>
      <c r="D76" s="53"/>
      <c r="E76" s="53"/>
      <c r="F76" s="186">
        <v>0</v>
      </c>
      <c r="G76" s="186">
        <v>0</v>
      </c>
      <c r="H76" s="187">
        <v>0</v>
      </c>
      <c r="I76" s="186">
        <v>0</v>
      </c>
      <c r="J76" s="186">
        <v>0</v>
      </c>
      <c r="K76" s="186">
        <v>0</v>
      </c>
      <c r="L76" s="186">
        <v>0</v>
      </c>
      <c r="M76" s="186">
        <v>0</v>
      </c>
      <c r="N76" s="186">
        <v>0</v>
      </c>
      <c r="O76" s="187">
        <v>0</v>
      </c>
      <c r="P76" s="186">
        <v>0</v>
      </c>
      <c r="Q76" s="186">
        <v>0</v>
      </c>
      <c r="R76" s="111">
        <v>0</v>
      </c>
      <c r="S76" s="111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06">
        <v>0</v>
      </c>
      <c r="AC76" s="106">
        <f t="shared" si="45"/>
        <v>0</v>
      </c>
    </row>
    <row r="77" spans="1:29" ht="15.75" hidden="1">
      <c r="A77" s="53"/>
      <c r="B77" s="143" t="s">
        <v>107</v>
      </c>
      <c r="C77" s="53" t="s">
        <v>62</v>
      </c>
      <c r="D77" s="53"/>
      <c r="E77" s="53"/>
      <c r="F77" s="186">
        <v>172.221665</v>
      </c>
      <c r="G77" s="186">
        <v>179.16219809949999</v>
      </c>
      <c r="H77" s="187">
        <v>186.38243468290983</v>
      </c>
      <c r="I77" s="186">
        <v>193.8936468006311</v>
      </c>
      <c r="J77" s="186">
        <v>201.70756076669653</v>
      </c>
      <c r="K77" s="186">
        <v>209.83637546559441</v>
      </c>
      <c r="L77" s="186">
        <v>218.29278139685786</v>
      </c>
      <c r="M77" s="186">
        <v>227.08998048715122</v>
      </c>
      <c r="N77" s="186">
        <v>236.24170670078342</v>
      </c>
      <c r="O77" s="187">
        <v>245.76224748082501</v>
      </c>
      <c r="P77" s="186">
        <v>255.66646605430225</v>
      </c>
      <c r="Q77" s="186">
        <v>265.96982463629064</v>
      </c>
      <c r="R77" s="111">
        <v>276.68840856913317</v>
      </c>
      <c r="S77" s="111">
        <v>287.83895143446927</v>
      </c>
      <c r="T77" s="111">
        <v>299.4388611772784</v>
      </c>
      <c r="U77" s="111">
        <v>311.50624728272271</v>
      </c>
      <c r="V77" s="111">
        <v>324.05994904821642</v>
      </c>
      <c r="W77" s="111">
        <v>337.11956499485956</v>
      </c>
      <c r="X77" s="111">
        <v>350.70548346415239</v>
      </c>
      <c r="Y77" s="111">
        <v>364.83891444775776</v>
      </c>
      <c r="Z77" s="111">
        <v>379.54192270000237</v>
      </c>
      <c r="AA77" s="111">
        <v>394.83746218481247</v>
      </c>
      <c r="AB77" s="111">
        <v>410.74941191086043</v>
      </c>
      <c r="AC77" s="111">
        <f t="shared" si="45"/>
        <v>6329.5520647858075</v>
      </c>
    </row>
    <row r="78" spans="1:29" ht="60" hidden="1">
      <c r="A78" s="55"/>
      <c r="B78" s="143" t="s">
        <v>108</v>
      </c>
      <c r="C78" s="53" t="s">
        <v>62</v>
      </c>
      <c r="D78" s="53"/>
      <c r="E78" s="53"/>
      <c r="F78" s="183">
        <v>0</v>
      </c>
      <c r="G78" s="183">
        <v>0</v>
      </c>
      <c r="H78" s="184">
        <v>0</v>
      </c>
      <c r="I78" s="183">
        <v>0</v>
      </c>
      <c r="J78" s="183">
        <v>0</v>
      </c>
      <c r="K78" s="183">
        <v>0</v>
      </c>
      <c r="L78" s="183">
        <v>0</v>
      </c>
      <c r="M78" s="183">
        <v>0</v>
      </c>
      <c r="N78" s="183">
        <v>0</v>
      </c>
      <c r="O78" s="184">
        <v>0</v>
      </c>
      <c r="P78" s="183">
        <v>0</v>
      </c>
      <c r="Q78" s="183">
        <v>0</v>
      </c>
      <c r="R78" s="113">
        <v>0</v>
      </c>
      <c r="S78" s="113">
        <v>0</v>
      </c>
      <c r="T78" s="113">
        <v>0</v>
      </c>
      <c r="U78" s="113">
        <v>0</v>
      </c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A78" s="113">
        <v>0</v>
      </c>
      <c r="AB78" s="106">
        <v>0</v>
      </c>
      <c r="AC78" s="106">
        <f t="shared" si="45"/>
        <v>0</v>
      </c>
    </row>
    <row r="79" spans="1:29" ht="30">
      <c r="A79" s="62" t="s">
        <v>158</v>
      </c>
      <c r="B79" s="127" t="s">
        <v>109</v>
      </c>
      <c r="C79" s="55" t="s">
        <v>62</v>
      </c>
      <c r="D79" s="55">
        <v>2975.5545470396869</v>
      </c>
      <c r="E79" s="55">
        <v>3961.2777293862491</v>
      </c>
      <c r="F79" s="167">
        <v>807.96354587724977</v>
      </c>
      <c r="G79" s="169">
        <v>806.96354587724977</v>
      </c>
      <c r="H79" s="169">
        <v>806.96354587724977</v>
      </c>
      <c r="I79" s="169">
        <v>806.96354587724977</v>
      </c>
      <c r="J79" s="169">
        <v>806.96354587724977</v>
      </c>
      <c r="K79" s="167">
        <v>806.96354587724977</v>
      </c>
      <c r="L79" s="167">
        <v>806.96354587724977</v>
      </c>
      <c r="M79" s="167">
        <v>806.96354587724977</v>
      </c>
      <c r="N79" s="170">
        <v>806.96354587724977</v>
      </c>
      <c r="O79" s="167">
        <v>806.96354587724977</v>
      </c>
      <c r="P79" s="167">
        <v>806.96354587724977</v>
      </c>
      <c r="Q79" s="167">
        <v>806.96354587724977</v>
      </c>
      <c r="R79" s="167">
        <v>806.96354587724977</v>
      </c>
      <c r="S79" s="167">
        <v>806.96354587724977</v>
      </c>
      <c r="T79" s="167">
        <v>806.96354587724977</v>
      </c>
      <c r="U79" s="167">
        <v>806.96354587724977</v>
      </c>
      <c r="V79" s="167">
        <v>806.96354587724977</v>
      </c>
      <c r="W79" s="167">
        <v>806.96354587724977</v>
      </c>
      <c r="X79" s="167">
        <v>806.96354587724977</v>
      </c>
      <c r="Y79" s="167">
        <v>806.96354587724977</v>
      </c>
      <c r="Z79" s="167">
        <v>806.96354587724977</v>
      </c>
      <c r="AA79" s="167">
        <v>806.96354587724977</v>
      </c>
      <c r="AB79" s="167">
        <v>806.96354587724977</v>
      </c>
      <c r="AC79" s="167">
        <f t="shared" si="45"/>
        <v>25497.993831602686</v>
      </c>
    </row>
    <row r="80" spans="1:29" ht="15.75" hidden="1">
      <c r="A80" s="53"/>
      <c r="B80" s="133" t="s">
        <v>110</v>
      </c>
      <c r="C80" s="53" t="s">
        <v>62</v>
      </c>
      <c r="D80" s="53"/>
      <c r="E80" s="53"/>
      <c r="F80" s="186">
        <f>40+40</f>
        <v>80</v>
      </c>
      <c r="G80" s="186">
        <v>40</v>
      </c>
      <c r="H80" s="186">
        <v>40</v>
      </c>
      <c r="I80" s="186">
        <v>40</v>
      </c>
      <c r="J80" s="186">
        <v>40</v>
      </c>
      <c r="K80" s="186">
        <v>40</v>
      </c>
      <c r="L80" s="186">
        <v>40</v>
      </c>
      <c r="M80" s="186">
        <v>40</v>
      </c>
      <c r="N80" s="186">
        <v>40</v>
      </c>
      <c r="O80" s="186">
        <v>40</v>
      </c>
      <c r="P80" s="188">
        <v>40</v>
      </c>
      <c r="Q80" s="186">
        <v>40</v>
      </c>
      <c r="R80" s="111">
        <v>40</v>
      </c>
      <c r="S80" s="111">
        <v>40</v>
      </c>
      <c r="T80" s="111">
        <v>40</v>
      </c>
      <c r="U80" s="112">
        <v>40</v>
      </c>
      <c r="V80" s="111">
        <v>40</v>
      </c>
      <c r="W80" s="111">
        <v>40</v>
      </c>
      <c r="X80" s="111">
        <v>40</v>
      </c>
      <c r="Y80" s="111">
        <v>40</v>
      </c>
      <c r="Z80" s="111">
        <v>40</v>
      </c>
      <c r="AA80" s="111">
        <v>40</v>
      </c>
      <c r="AB80" s="111">
        <v>40</v>
      </c>
      <c r="AC80" s="111">
        <f t="shared" si="45"/>
        <v>960</v>
      </c>
    </row>
    <row r="81" spans="1:29" ht="15.75" hidden="1">
      <c r="A81" s="53"/>
      <c r="B81" s="144" t="s">
        <v>111</v>
      </c>
      <c r="C81" s="53" t="s">
        <v>62</v>
      </c>
      <c r="D81" s="53"/>
      <c r="E81" s="53"/>
      <c r="F81" s="186">
        <v>1</v>
      </c>
      <c r="G81" s="186">
        <v>0</v>
      </c>
      <c r="H81" s="186">
        <v>0</v>
      </c>
      <c r="I81" s="186">
        <v>0</v>
      </c>
      <c r="J81" s="186">
        <v>0</v>
      </c>
      <c r="K81" s="186">
        <v>0</v>
      </c>
      <c r="L81" s="186">
        <v>0</v>
      </c>
      <c r="M81" s="186">
        <v>0</v>
      </c>
      <c r="N81" s="186">
        <v>0</v>
      </c>
      <c r="O81" s="186">
        <v>0</v>
      </c>
      <c r="P81" s="188">
        <v>0</v>
      </c>
      <c r="Q81" s="186">
        <v>0</v>
      </c>
      <c r="R81" s="111">
        <v>0</v>
      </c>
      <c r="S81" s="111">
        <v>0</v>
      </c>
      <c r="T81" s="111">
        <v>0</v>
      </c>
      <c r="U81" s="112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  <c r="AC81" s="111">
        <f t="shared" si="45"/>
        <v>1</v>
      </c>
    </row>
    <row r="82" spans="1:29" ht="15.75" hidden="1">
      <c r="A82" s="53"/>
      <c r="B82" s="144" t="s">
        <v>112</v>
      </c>
      <c r="C82" s="53" t="s">
        <v>62</v>
      </c>
      <c r="D82" s="53"/>
      <c r="E82" s="53"/>
      <c r="F82" s="186">
        <f>788.209577694326+2955.7866</f>
        <v>3743.996177694326</v>
      </c>
      <c r="G82" s="186">
        <f>828+3941.04788847163</f>
        <v>4769.0478884716304</v>
      </c>
      <c r="H82" s="186">
        <v>788.20957769432562</v>
      </c>
      <c r="I82" s="186">
        <v>788.20957769432562</v>
      </c>
      <c r="J82" s="186">
        <v>788.20957769432562</v>
      </c>
      <c r="K82" s="186">
        <v>788.20957769432562</v>
      </c>
      <c r="L82" s="186">
        <v>788.20957769432562</v>
      </c>
      <c r="M82" s="186">
        <v>788.20957769432562</v>
      </c>
      <c r="N82" s="186">
        <v>788.20957769432562</v>
      </c>
      <c r="O82" s="186">
        <v>788.20957769432562</v>
      </c>
      <c r="P82" s="188">
        <v>788.20957769432562</v>
      </c>
      <c r="Q82" s="186">
        <v>788.20957769432562</v>
      </c>
      <c r="R82" s="111">
        <v>788.20957769432562</v>
      </c>
      <c r="S82" s="111">
        <v>788.20957769432562</v>
      </c>
      <c r="T82" s="111">
        <v>788.20957769432562</v>
      </c>
      <c r="U82" s="112">
        <v>788.20957769432562</v>
      </c>
      <c r="V82" s="111">
        <v>788.20957769432562</v>
      </c>
      <c r="W82" s="111">
        <v>788.20957769432562</v>
      </c>
      <c r="X82" s="111">
        <v>788.20957769432562</v>
      </c>
      <c r="Y82" s="111">
        <v>788.20957769432562</v>
      </c>
      <c r="Z82" s="111">
        <v>788.20957769432562</v>
      </c>
      <c r="AA82" s="111">
        <v>788.20957769432562</v>
      </c>
      <c r="AB82" s="111">
        <v>788.20957769432562</v>
      </c>
      <c r="AC82" s="111">
        <f t="shared" si="45"/>
        <v>25065.445197746783</v>
      </c>
    </row>
    <row r="83" spans="1:29" ht="15.75" hidden="1">
      <c r="A83" s="53"/>
      <c r="B83" s="144" t="s">
        <v>113</v>
      </c>
      <c r="C83" s="53" t="s">
        <v>62</v>
      </c>
      <c r="D83" s="53"/>
      <c r="E83" s="53"/>
      <c r="F83" s="186">
        <v>0</v>
      </c>
      <c r="G83" s="186">
        <v>0</v>
      </c>
      <c r="H83" s="186">
        <v>0</v>
      </c>
      <c r="I83" s="186">
        <v>0</v>
      </c>
      <c r="J83" s="186">
        <v>0</v>
      </c>
      <c r="K83" s="186">
        <v>0</v>
      </c>
      <c r="L83" s="186">
        <v>0</v>
      </c>
      <c r="M83" s="186">
        <v>0</v>
      </c>
      <c r="N83" s="186">
        <v>0</v>
      </c>
      <c r="O83" s="186">
        <v>0</v>
      </c>
      <c r="P83" s="188">
        <v>0</v>
      </c>
      <c r="Q83" s="186">
        <v>0</v>
      </c>
      <c r="R83" s="111">
        <v>0</v>
      </c>
      <c r="S83" s="111">
        <v>0</v>
      </c>
      <c r="T83" s="111">
        <v>0</v>
      </c>
      <c r="U83" s="112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  <c r="AC83" s="111">
        <f t="shared" si="45"/>
        <v>0</v>
      </c>
    </row>
    <row r="84" spans="1:29" ht="62.25" customHeight="1">
      <c r="A84" s="62" t="s">
        <v>159</v>
      </c>
      <c r="B84" s="127" t="s">
        <v>114</v>
      </c>
      <c r="C84" s="51" t="s">
        <v>62</v>
      </c>
      <c r="D84" s="51"/>
      <c r="E84" s="51"/>
      <c r="F84" s="167">
        <v>5035.1740492443605</v>
      </c>
      <c r="G84" s="167">
        <v>5035.1740492443605</v>
      </c>
      <c r="H84" s="167">
        <v>5035.1740492443605</v>
      </c>
      <c r="I84" s="167">
        <v>5035.1740492443605</v>
      </c>
      <c r="J84" s="167">
        <v>5035.1740492443605</v>
      </c>
      <c r="K84" s="167">
        <v>5035.1740492443605</v>
      </c>
      <c r="L84" s="167">
        <v>5035.1740492443605</v>
      </c>
      <c r="M84" s="167">
        <v>5035.1740492443605</v>
      </c>
      <c r="N84" s="167">
        <v>5035.1740492443605</v>
      </c>
      <c r="O84" s="167">
        <v>5035.1740492443605</v>
      </c>
      <c r="P84" s="170">
        <v>5035.1740492443605</v>
      </c>
      <c r="Q84" s="167">
        <v>5035.1740492443605</v>
      </c>
      <c r="R84" s="109">
        <v>5035.1740492443605</v>
      </c>
      <c r="S84" s="109">
        <v>5035.1740492443605</v>
      </c>
      <c r="T84" s="109">
        <v>5035.1740492443605</v>
      </c>
      <c r="U84" s="110">
        <v>5035.1740492443605</v>
      </c>
      <c r="V84" s="109">
        <v>5035.1740492443605</v>
      </c>
      <c r="W84" s="109">
        <v>5035.1740492443605</v>
      </c>
      <c r="X84" s="109">
        <v>5035.1740492443605</v>
      </c>
      <c r="Y84" s="109">
        <v>5035.1740492443605</v>
      </c>
      <c r="Z84" s="109">
        <v>5035.1740492443605</v>
      </c>
      <c r="AA84" s="109">
        <v>5035.1740492443605</v>
      </c>
      <c r="AB84" s="109">
        <v>5035.1740492443605</v>
      </c>
      <c r="AC84" s="109">
        <f t="shared" si="45"/>
        <v>115809.00313262035</v>
      </c>
    </row>
    <row r="85" spans="1:29" ht="15.75">
      <c r="A85" s="95" t="s">
        <v>137</v>
      </c>
      <c r="B85" s="114" t="s">
        <v>115</v>
      </c>
      <c r="C85" s="67" t="s">
        <v>26</v>
      </c>
      <c r="D85" s="67"/>
      <c r="E85" s="67"/>
      <c r="F85" s="171">
        <v>20026.011690399588</v>
      </c>
      <c r="G85" s="171">
        <v>20921.188870299735</v>
      </c>
      <c r="H85" s="171">
        <v>21856.879973010091</v>
      </c>
      <c r="I85" s="171">
        <v>22834.940897223787</v>
      </c>
      <c r="J85" s="171">
        <v>23857.313544670684</v>
      </c>
      <c r="K85" s="171">
        <v>24926.02984859336</v>
      </c>
      <c r="L85" s="171">
        <v>26043.215992779737</v>
      </c>
      <c r="M85" s="171">
        <v>27211.096830245704</v>
      </c>
      <c r="N85" s="171">
        <v>28432.000511098046</v>
      </c>
      <c r="O85" s="171">
        <v>29708.363329566604</v>
      </c>
      <c r="P85" s="172">
        <v>31042.734800675138</v>
      </c>
      <c r="Q85" s="171">
        <v>32437.782977524308</v>
      </c>
      <c r="R85" s="171">
        <v>33896.300020688548</v>
      </c>
      <c r="S85" s="171">
        <v>35421.208031782524</v>
      </c>
      <c r="T85" s="171">
        <v>37015.565163833584</v>
      </c>
      <c r="U85" s="200">
        <v>38682.572021705666</v>
      </c>
      <c r="V85" s="171">
        <v>40425.578366458576</v>
      </c>
      <c r="W85" s="171">
        <v>42248.090138195839</v>
      </c>
      <c r="X85" s="171">
        <v>44153.776812656542</v>
      </c>
      <c r="Y85" s="171">
        <v>46146.479107542305</v>
      </c>
      <c r="Z85" s="171">
        <v>48230.217055342473</v>
      </c>
      <c r="AA85" s="171">
        <v>50409.198460229585</v>
      </c>
      <c r="AB85" s="171">
        <v>52687.827757445841</v>
      </c>
      <c r="AC85" s="171">
        <f t="shared" si="45"/>
        <v>778614.37220196845</v>
      </c>
    </row>
    <row r="86" spans="1:29" ht="15.75" hidden="1">
      <c r="A86" s="62" t="s">
        <v>160</v>
      </c>
      <c r="B86" s="75" t="s">
        <v>116</v>
      </c>
      <c r="C86" s="51" t="s">
        <v>62</v>
      </c>
      <c r="D86" s="51"/>
      <c r="E86" s="51"/>
      <c r="F86" s="177">
        <f t="shared" ref="F86:AB86" si="46">F87*F88</f>
        <v>9413.6712284160021</v>
      </c>
      <c r="G86" s="177">
        <f t="shared" si="46"/>
        <v>9884.3547898368033</v>
      </c>
      <c r="H86" s="177">
        <f t="shared" si="46"/>
        <v>10378.572529328643</v>
      </c>
      <c r="I86" s="177">
        <f t="shared" si="46"/>
        <v>10897.501155795077</v>
      </c>
      <c r="J86" s="177">
        <f t="shared" si="46"/>
        <v>11442.37621358483</v>
      </c>
      <c r="K86" s="177">
        <f t="shared" si="46"/>
        <v>12014.495024264073</v>
      </c>
      <c r="L86" s="177">
        <f t="shared" si="46"/>
        <v>12615.219775477279</v>
      </c>
      <c r="M86" s="177">
        <f t="shared" si="46"/>
        <v>13245.980764251144</v>
      </c>
      <c r="N86" s="177">
        <f t="shared" si="46"/>
        <v>13908.279802463701</v>
      </c>
      <c r="O86" s="177">
        <f t="shared" si="46"/>
        <v>14603.693792586886</v>
      </c>
      <c r="P86" s="189">
        <f t="shared" si="46"/>
        <v>15333.878482216231</v>
      </c>
      <c r="Q86" s="177">
        <f t="shared" si="46"/>
        <v>16100.572406327045</v>
      </c>
      <c r="R86" s="78">
        <f t="shared" si="46"/>
        <v>16905.601026643395</v>
      </c>
      <c r="S86" s="78">
        <f t="shared" si="46"/>
        <v>17750.881077975566</v>
      </c>
      <c r="T86" s="78">
        <f t="shared" si="46"/>
        <v>18638.425131874345</v>
      </c>
      <c r="U86" s="91">
        <f t="shared" si="46"/>
        <v>19570.346388468064</v>
      </c>
      <c r="V86" s="78">
        <f t="shared" si="46"/>
        <v>20548.863707891465</v>
      </c>
      <c r="W86" s="78">
        <f t="shared" si="46"/>
        <v>21576.306893286041</v>
      </c>
      <c r="X86" s="78">
        <f t="shared" si="46"/>
        <v>22655.122237950342</v>
      </c>
      <c r="Y86" s="78">
        <f t="shared" si="46"/>
        <v>23787.878349847862</v>
      </c>
      <c r="Z86" s="78">
        <f t="shared" si="46"/>
        <v>24977.272267340257</v>
      </c>
      <c r="AA86" s="78">
        <f t="shared" si="46"/>
        <v>26226.135880707268</v>
      </c>
      <c r="AB86" s="78">
        <f t="shared" si="46"/>
        <v>27537.442674742633</v>
      </c>
      <c r="AC86" s="158">
        <f t="shared" si="45"/>
        <v>390012.87160127494</v>
      </c>
    </row>
    <row r="87" spans="1:29" ht="15.75" hidden="1">
      <c r="A87" s="44"/>
      <c r="B87" s="115" t="s">
        <v>117</v>
      </c>
      <c r="C87" s="44" t="s">
        <v>118</v>
      </c>
      <c r="D87" s="44"/>
      <c r="E87" s="44"/>
      <c r="F87" s="190">
        <v>1447.68</v>
      </c>
      <c r="G87" s="190">
        <v>1447.68</v>
      </c>
      <c r="H87" s="190">
        <v>1447.68</v>
      </c>
      <c r="I87" s="190">
        <v>1447.68</v>
      </c>
      <c r="J87" s="190">
        <v>1447.68</v>
      </c>
      <c r="K87" s="190">
        <v>1447.68</v>
      </c>
      <c r="L87" s="190">
        <v>1447.68</v>
      </c>
      <c r="M87" s="190">
        <v>1447.68</v>
      </c>
      <c r="N87" s="190">
        <v>1447.68</v>
      </c>
      <c r="O87" s="190">
        <v>1447.68</v>
      </c>
      <c r="P87" s="191">
        <v>1447.68</v>
      </c>
      <c r="Q87" s="190">
        <v>1447.68</v>
      </c>
      <c r="R87" s="115">
        <v>1447.68</v>
      </c>
      <c r="S87" s="115">
        <v>1447.68</v>
      </c>
      <c r="T87" s="115">
        <v>1447.68</v>
      </c>
      <c r="U87" s="116">
        <v>1447.68</v>
      </c>
      <c r="V87" s="115">
        <v>1447.68</v>
      </c>
      <c r="W87" s="115">
        <v>1447.68</v>
      </c>
      <c r="X87" s="115">
        <v>1447.68</v>
      </c>
      <c r="Y87" s="115">
        <v>1447.68</v>
      </c>
      <c r="Z87" s="115">
        <v>1447.68</v>
      </c>
      <c r="AA87" s="115">
        <v>1447.68</v>
      </c>
      <c r="AB87" s="115">
        <v>1447.68</v>
      </c>
      <c r="AC87" s="158">
        <f t="shared" si="45"/>
        <v>33296.639999999999</v>
      </c>
    </row>
    <row r="88" spans="1:29" ht="15.75" hidden="1">
      <c r="A88" s="56"/>
      <c r="B88" s="82" t="s">
        <v>119</v>
      </c>
      <c r="C88" s="56" t="s">
        <v>120</v>
      </c>
      <c r="D88" s="56"/>
      <c r="E88" s="56"/>
      <c r="F88" s="192">
        <v>6.5025912000000012</v>
      </c>
      <c r="G88" s="192">
        <v>6.8277207600000018</v>
      </c>
      <c r="H88" s="192">
        <v>7.1691067980000023</v>
      </c>
      <c r="I88" s="192">
        <v>7.5275621379000031</v>
      </c>
      <c r="J88" s="192">
        <v>7.9039402447950033</v>
      </c>
      <c r="K88" s="192">
        <v>8.2991372570347544</v>
      </c>
      <c r="L88" s="192">
        <v>8.714094119886493</v>
      </c>
      <c r="M88" s="192">
        <v>9.1497988258808185</v>
      </c>
      <c r="N88" s="192">
        <v>9.6072887671748592</v>
      </c>
      <c r="O88" s="192">
        <v>10.087653205533602</v>
      </c>
      <c r="P88" s="193">
        <v>10.592035865810283</v>
      </c>
      <c r="Q88" s="192">
        <v>11.121637659100799</v>
      </c>
      <c r="R88" s="117">
        <v>11.677719542055838</v>
      </c>
      <c r="S88" s="117">
        <v>12.26160551915863</v>
      </c>
      <c r="T88" s="117">
        <v>12.874685795116562</v>
      </c>
      <c r="U88" s="118">
        <v>13.518420084872391</v>
      </c>
      <c r="V88" s="117">
        <v>14.19434108911601</v>
      </c>
      <c r="W88" s="117">
        <v>14.904058143571811</v>
      </c>
      <c r="X88" s="117">
        <v>15.649261050750402</v>
      </c>
      <c r="Y88" s="117">
        <v>16.431724103287923</v>
      </c>
      <c r="Z88" s="117">
        <v>17.25331030845232</v>
      </c>
      <c r="AA88" s="117">
        <v>18.115975823874937</v>
      </c>
      <c r="AB88" s="115">
        <v>19.021774615068683</v>
      </c>
      <c r="AC88" s="158">
        <f t="shared" si="45"/>
        <v>269.40544291644215</v>
      </c>
    </row>
    <row r="89" spans="1:29" ht="15.75" hidden="1">
      <c r="A89" s="62" t="s">
        <v>161</v>
      </c>
      <c r="B89" s="75" t="s">
        <v>121</v>
      </c>
      <c r="C89" s="51" t="s">
        <v>62</v>
      </c>
      <c r="D89" s="51"/>
      <c r="E89" s="51"/>
      <c r="F89" s="177">
        <f t="shared" ref="F89:AB89" si="47">F90*F91</f>
        <v>9697.3173036408425</v>
      </c>
      <c r="G89" s="177">
        <f t="shared" si="47"/>
        <v>10088.119190977568</v>
      </c>
      <c r="H89" s="177">
        <f t="shared" si="47"/>
        <v>10494.670394373965</v>
      </c>
      <c r="I89" s="177">
        <f t="shared" si="47"/>
        <v>10917.605611267236</v>
      </c>
      <c r="J89" s="177">
        <f t="shared" si="47"/>
        <v>11357.585117401306</v>
      </c>
      <c r="K89" s="177">
        <f t="shared" si="47"/>
        <v>11815.295797632578</v>
      </c>
      <c r="L89" s="177">
        <f t="shared" si="47"/>
        <v>12291.452218277173</v>
      </c>
      <c r="M89" s="177">
        <f t="shared" si="47"/>
        <v>12786.797742673742</v>
      </c>
      <c r="N89" s="177">
        <f t="shared" si="47"/>
        <v>13302.105691703491</v>
      </c>
      <c r="O89" s="177">
        <f t="shared" si="47"/>
        <v>13838.180551079144</v>
      </c>
      <c r="P89" s="189">
        <f t="shared" si="47"/>
        <v>14395.859227287632</v>
      </c>
      <c r="Q89" s="177">
        <f t="shared" si="47"/>
        <v>14976.012354147324</v>
      </c>
      <c r="R89" s="78">
        <f t="shared" si="47"/>
        <v>15579.545652019462</v>
      </c>
      <c r="S89" s="78">
        <f t="shared" si="47"/>
        <v>16207.401341795845</v>
      </c>
      <c r="T89" s="78">
        <f t="shared" si="47"/>
        <v>16860.559615870217</v>
      </c>
      <c r="U89" s="91">
        <f t="shared" si="47"/>
        <v>17540.040168389791</v>
      </c>
      <c r="V89" s="78">
        <f t="shared" si="47"/>
        <v>18246.903787175899</v>
      </c>
      <c r="W89" s="78">
        <f t="shared" si="47"/>
        <v>18982.254009799086</v>
      </c>
      <c r="X89" s="78">
        <f t="shared" si="47"/>
        <v>19747.23884639399</v>
      </c>
      <c r="Y89" s="78">
        <f t="shared" si="47"/>
        <v>20543.052571903667</v>
      </c>
      <c r="Z89" s="78">
        <f t="shared" si="47"/>
        <v>21370.937590551384</v>
      </c>
      <c r="AA89" s="78">
        <f t="shared" si="47"/>
        <v>22232.186375450605</v>
      </c>
      <c r="AB89" s="78">
        <f t="shared" si="47"/>
        <v>23128.143486381265</v>
      </c>
      <c r="AC89" s="158">
        <f t="shared" si="45"/>
        <v>356399.26464619325</v>
      </c>
    </row>
    <row r="90" spans="1:29" ht="15.75" hidden="1">
      <c r="A90" s="44"/>
      <c r="B90" s="115" t="s">
        <v>117</v>
      </c>
      <c r="C90" s="44" t="s">
        <v>122</v>
      </c>
      <c r="D90" s="44"/>
      <c r="E90" s="44"/>
      <c r="F90" s="194">
        <v>297.88132252500009</v>
      </c>
      <c r="G90" s="194">
        <v>297.88132252500009</v>
      </c>
      <c r="H90" s="194">
        <v>297.88132252500009</v>
      </c>
      <c r="I90" s="194">
        <v>297.88132252500009</v>
      </c>
      <c r="J90" s="194">
        <v>297.88132252500009</v>
      </c>
      <c r="K90" s="194">
        <v>297.88132252500009</v>
      </c>
      <c r="L90" s="194">
        <v>297.88132252500009</v>
      </c>
      <c r="M90" s="194">
        <v>297.88132252500009</v>
      </c>
      <c r="N90" s="194">
        <v>297.88132252500009</v>
      </c>
      <c r="O90" s="194">
        <v>297.88132252500009</v>
      </c>
      <c r="P90" s="195">
        <v>297.88132252500009</v>
      </c>
      <c r="Q90" s="194">
        <v>297.88132252500009</v>
      </c>
      <c r="R90" s="119">
        <v>297.88132252500009</v>
      </c>
      <c r="S90" s="119">
        <v>297.88132252500009</v>
      </c>
      <c r="T90" s="119">
        <v>297.88132252500009</v>
      </c>
      <c r="U90" s="120">
        <v>297.88132252500009</v>
      </c>
      <c r="V90" s="119">
        <v>297.88132252500009</v>
      </c>
      <c r="W90" s="119">
        <v>297.88132252500009</v>
      </c>
      <c r="X90" s="119">
        <v>297.88132252500009</v>
      </c>
      <c r="Y90" s="119">
        <v>297.88132252500009</v>
      </c>
      <c r="Z90" s="119">
        <v>297.88132252500009</v>
      </c>
      <c r="AA90" s="119">
        <v>297.88132252500009</v>
      </c>
      <c r="AB90" s="119">
        <v>297.88132252500009</v>
      </c>
      <c r="AC90" s="158">
        <f t="shared" si="45"/>
        <v>6851.2704180749988</v>
      </c>
    </row>
    <row r="91" spans="1:29" ht="15.75" hidden="1">
      <c r="A91" s="56"/>
      <c r="B91" s="82" t="s">
        <v>119</v>
      </c>
      <c r="C91" s="56" t="s">
        <v>123</v>
      </c>
      <c r="D91" s="56"/>
      <c r="E91" s="56"/>
      <c r="F91" s="192">
        <v>32.554297870847485</v>
      </c>
      <c r="G91" s="192">
        <v>33.866236075042636</v>
      </c>
      <c r="H91" s="192">
        <v>35.231045388866853</v>
      </c>
      <c r="I91" s="192">
        <v>36.650856518038189</v>
      </c>
      <c r="J91" s="192">
        <v>38.127886035715129</v>
      </c>
      <c r="K91" s="192">
        <v>39.664439842954451</v>
      </c>
      <c r="L91" s="192">
        <v>41.262916768625516</v>
      </c>
      <c r="M91" s="192">
        <v>42.925812314401121</v>
      </c>
      <c r="N91" s="192">
        <v>44.655722550671484</v>
      </c>
      <c r="O91" s="192">
        <v>46.455348169463548</v>
      </c>
      <c r="P91" s="193">
        <v>48.327498700692928</v>
      </c>
      <c r="Q91" s="192">
        <v>50.275096898330851</v>
      </c>
      <c r="R91" s="117">
        <v>52.301183303333588</v>
      </c>
      <c r="S91" s="117">
        <v>54.408920990457929</v>
      </c>
      <c r="T91" s="117">
        <v>56.601600506373387</v>
      </c>
      <c r="U91" s="118">
        <v>58.882645006780237</v>
      </c>
      <c r="V91" s="117">
        <v>61.255615600553483</v>
      </c>
      <c r="W91" s="117">
        <v>63.724216909255787</v>
      </c>
      <c r="X91" s="117">
        <v>66.292302850698789</v>
      </c>
      <c r="Y91" s="117">
        <v>68.963882655581955</v>
      </c>
      <c r="Z91" s="117">
        <v>71.743127126601905</v>
      </c>
      <c r="AA91" s="117">
        <v>74.634375149803958</v>
      </c>
      <c r="AB91" s="117">
        <v>77.642140468341054</v>
      </c>
      <c r="AC91" s="158">
        <f t="shared" si="45"/>
        <v>1196.4471677014321</v>
      </c>
    </row>
    <row r="92" spans="1:29" ht="15.75" hidden="1">
      <c r="A92" s="62" t="s">
        <v>159</v>
      </c>
      <c r="B92" s="75" t="s">
        <v>124</v>
      </c>
      <c r="C92" s="51" t="s">
        <v>62</v>
      </c>
      <c r="D92" s="51"/>
      <c r="E92" s="51"/>
      <c r="F92" s="177">
        <f t="shared" ref="F92:AB92" si="48">F93*F94</f>
        <v>424.24760985288441</v>
      </c>
      <c r="G92" s="177">
        <f t="shared" si="48"/>
        <v>441.34478852995562</v>
      </c>
      <c r="H92" s="177">
        <f t="shared" si="48"/>
        <v>459.13098350771281</v>
      </c>
      <c r="I92" s="177">
        <f t="shared" si="48"/>
        <v>477.63396214307369</v>
      </c>
      <c r="J92" s="177">
        <f t="shared" si="48"/>
        <v>496.88261081743957</v>
      </c>
      <c r="K92" s="177">
        <f t="shared" si="48"/>
        <v>516.90698003338241</v>
      </c>
      <c r="L92" s="177">
        <f t="shared" si="48"/>
        <v>537.73833132872767</v>
      </c>
      <c r="M92" s="177">
        <f t="shared" si="48"/>
        <v>559.40918608127538</v>
      </c>
      <c r="N92" s="177">
        <f t="shared" si="48"/>
        <v>581.95337628035077</v>
      </c>
      <c r="O92" s="177">
        <f t="shared" si="48"/>
        <v>605.40609734444899</v>
      </c>
      <c r="P92" s="189">
        <f t="shared" si="48"/>
        <v>629.80396306743023</v>
      </c>
      <c r="Q92" s="177">
        <f t="shared" si="48"/>
        <v>655.1850627790476</v>
      </c>
      <c r="R92" s="78">
        <f t="shared" si="48"/>
        <v>681.58902080904329</v>
      </c>
      <c r="S92" s="78">
        <f t="shared" si="48"/>
        <v>709.05705834764774</v>
      </c>
      <c r="T92" s="78">
        <f t="shared" si="48"/>
        <v>737.63205779905797</v>
      </c>
      <c r="U92" s="91">
        <f t="shared" si="48"/>
        <v>767.35862972836003</v>
      </c>
      <c r="V92" s="78">
        <f t="shared" si="48"/>
        <v>798.28318250641303</v>
      </c>
      <c r="W92" s="78">
        <f t="shared" si="48"/>
        <v>830.45399476142143</v>
      </c>
      <c r="X92" s="78">
        <f t="shared" si="48"/>
        <v>863.92129075030664</v>
      </c>
      <c r="Y92" s="78">
        <f t="shared" si="48"/>
        <v>898.73731876754402</v>
      </c>
      <c r="Z92" s="78">
        <f t="shared" si="48"/>
        <v>934.95643271387598</v>
      </c>
      <c r="AA92" s="78">
        <f t="shared" si="48"/>
        <v>972.63517695224516</v>
      </c>
      <c r="AB92" s="78">
        <f t="shared" si="48"/>
        <v>1011.8323745834206</v>
      </c>
      <c r="AC92" s="158">
        <f t="shared" si="45"/>
        <v>15592.099489485063</v>
      </c>
    </row>
    <row r="93" spans="1:29" ht="15.75" hidden="1">
      <c r="A93" s="44"/>
      <c r="B93" s="115" t="s">
        <v>117</v>
      </c>
      <c r="C93" s="44" t="s">
        <v>122</v>
      </c>
      <c r="D93" s="44"/>
      <c r="E93" s="44"/>
      <c r="F93" s="190">
        <v>13.032</v>
      </c>
      <c r="G93" s="190">
        <v>13.032</v>
      </c>
      <c r="H93" s="190">
        <v>13.032</v>
      </c>
      <c r="I93" s="190">
        <v>13.032</v>
      </c>
      <c r="J93" s="190">
        <v>13.032</v>
      </c>
      <c r="K93" s="190">
        <v>13.032</v>
      </c>
      <c r="L93" s="190">
        <v>13.032</v>
      </c>
      <c r="M93" s="190">
        <v>13.032</v>
      </c>
      <c r="N93" s="190">
        <v>13.032</v>
      </c>
      <c r="O93" s="190">
        <v>13.032</v>
      </c>
      <c r="P93" s="191">
        <v>13.032</v>
      </c>
      <c r="Q93" s="190">
        <v>13.032</v>
      </c>
      <c r="R93" s="115">
        <v>13.032</v>
      </c>
      <c r="S93" s="115">
        <v>13.032</v>
      </c>
      <c r="T93" s="115">
        <v>13.032</v>
      </c>
      <c r="U93" s="116">
        <v>13.032</v>
      </c>
      <c r="V93" s="115">
        <v>13.032</v>
      </c>
      <c r="W93" s="115">
        <v>13.032</v>
      </c>
      <c r="X93" s="115">
        <v>13.032</v>
      </c>
      <c r="Y93" s="115">
        <v>13.032</v>
      </c>
      <c r="Z93" s="115">
        <v>13.032</v>
      </c>
      <c r="AA93" s="115">
        <v>13.032</v>
      </c>
      <c r="AB93" s="106">
        <v>13.032</v>
      </c>
      <c r="AC93" s="158">
        <f t="shared" si="45"/>
        <v>299.73600000000005</v>
      </c>
    </row>
    <row r="94" spans="1:29" ht="15.75" hidden="1">
      <c r="A94" s="56"/>
      <c r="B94" s="82" t="s">
        <v>119</v>
      </c>
      <c r="C94" s="56" t="s">
        <v>123</v>
      </c>
      <c r="D94" s="56"/>
      <c r="E94" s="56"/>
      <c r="F94" s="192">
        <v>32.554297870847485</v>
      </c>
      <c r="G94" s="192">
        <v>33.866236075042636</v>
      </c>
      <c r="H94" s="192">
        <v>35.231045388866853</v>
      </c>
      <c r="I94" s="192">
        <v>36.650856518038189</v>
      </c>
      <c r="J94" s="192">
        <v>38.127886035715129</v>
      </c>
      <c r="K94" s="192">
        <v>39.664439842954451</v>
      </c>
      <c r="L94" s="192">
        <v>41.262916768625516</v>
      </c>
      <c r="M94" s="192">
        <v>42.925812314401121</v>
      </c>
      <c r="N94" s="192">
        <v>44.655722550671484</v>
      </c>
      <c r="O94" s="192">
        <v>46.455348169463548</v>
      </c>
      <c r="P94" s="193">
        <v>48.327498700692928</v>
      </c>
      <c r="Q94" s="192">
        <v>50.275096898330851</v>
      </c>
      <c r="R94" s="117">
        <v>52.301183303333588</v>
      </c>
      <c r="S94" s="117">
        <v>54.408920990457929</v>
      </c>
      <c r="T94" s="117">
        <v>56.601600506373387</v>
      </c>
      <c r="U94" s="118">
        <v>58.882645006780237</v>
      </c>
      <c r="V94" s="117">
        <v>61.255615600553483</v>
      </c>
      <c r="W94" s="117">
        <v>63.724216909255787</v>
      </c>
      <c r="X94" s="117">
        <v>66.292302850698789</v>
      </c>
      <c r="Y94" s="117">
        <v>68.963882655581955</v>
      </c>
      <c r="Z94" s="117">
        <v>71.743127126601905</v>
      </c>
      <c r="AA94" s="117">
        <v>74.634375149803958</v>
      </c>
      <c r="AB94" s="115">
        <v>77.642140468341054</v>
      </c>
      <c r="AC94" s="158">
        <f t="shared" si="45"/>
        <v>1196.4471677014321</v>
      </c>
    </row>
    <row r="95" spans="1:29" ht="15.75" hidden="1">
      <c r="A95" s="62" t="s">
        <v>162</v>
      </c>
      <c r="B95" s="75" t="s">
        <v>125</v>
      </c>
      <c r="C95" s="51" t="s">
        <v>62</v>
      </c>
      <c r="D95" s="51"/>
      <c r="E95" s="51"/>
      <c r="F95" s="177">
        <f t="shared" ref="F95:AB95" si="49">F96*F97</f>
        <v>493.87775638315225</v>
      </c>
      <c r="G95" s="177">
        <f t="shared" si="49"/>
        <v>513.78102996539326</v>
      </c>
      <c r="H95" s="177">
        <f t="shared" si="49"/>
        <v>534.48640547299863</v>
      </c>
      <c r="I95" s="177">
        <f t="shared" si="49"/>
        <v>556.02620761356047</v>
      </c>
      <c r="J95" s="177">
        <f t="shared" si="49"/>
        <v>578.43406378038696</v>
      </c>
      <c r="K95" s="177">
        <f t="shared" si="49"/>
        <v>601.74495655073645</v>
      </c>
      <c r="L95" s="177">
        <f t="shared" si="49"/>
        <v>625.99527829973124</v>
      </c>
      <c r="M95" s="177">
        <f t="shared" si="49"/>
        <v>651.2228880152104</v>
      </c>
      <c r="N95" s="177">
        <f t="shared" si="49"/>
        <v>677.46717040222336</v>
      </c>
      <c r="O95" s="177">
        <f t="shared" si="49"/>
        <v>704.76909736943298</v>
      </c>
      <c r="P95" s="189">
        <f t="shared" si="49"/>
        <v>733.17129199342116</v>
      </c>
      <c r="Q95" s="177">
        <f t="shared" si="49"/>
        <v>762.71809506075613</v>
      </c>
      <c r="R95" s="78">
        <f t="shared" si="49"/>
        <v>793.45563429170454</v>
      </c>
      <c r="S95" s="78">
        <f t="shared" si="49"/>
        <v>825.43189635366025</v>
      </c>
      <c r="T95" s="78">
        <f t="shared" si="49"/>
        <v>858.69680177671273</v>
      </c>
      <c r="U95" s="91">
        <f t="shared" si="49"/>
        <v>893.30228288831427</v>
      </c>
      <c r="V95" s="78">
        <f t="shared" si="49"/>
        <v>929.30236488871333</v>
      </c>
      <c r="W95" s="78">
        <f t="shared" si="49"/>
        <v>966.75325019372849</v>
      </c>
      <c r="X95" s="78">
        <f t="shared" si="49"/>
        <v>1005.7134061765357</v>
      </c>
      <c r="Y95" s="78">
        <f t="shared" si="49"/>
        <v>1046.2436564454501</v>
      </c>
      <c r="Z95" s="78">
        <f t="shared" si="49"/>
        <v>1088.4072758002017</v>
      </c>
      <c r="AA95" s="78">
        <f t="shared" si="49"/>
        <v>1132.2700890149499</v>
      </c>
      <c r="AB95" s="78">
        <f t="shared" si="49"/>
        <v>1177.9005736022523</v>
      </c>
      <c r="AC95" s="158">
        <f t="shared" si="45"/>
        <v>18151.171472339229</v>
      </c>
    </row>
    <row r="96" spans="1:29" ht="15.75" hidden="1">
      <c r="A96" s="44"/>
      <c r="B96" s="115" t="s">
        <v>117</v>
      </c>
      <c r="C96" s="44" t="s">
        <v>122</v>
      </c>
      <c r="D96" s="44"/>
      <c r="E96" s="44"/>
      <c r="F96" s="190">
        <v>13.032</v>
      </c>
      <c r="G96" s="190">
        <v>13.032</v>
      </c>
      <c r="H96" s="190">
        <v>13.032</v>
      </c>
      <c r="I96" s="190">
        <v>13.032</v>
      </c>
      <c r="J96" s="190">
        <v>13.032</v>
      </c>
      <c r="K96" s="190">
        <v>13.032</v>
      </c>
      <c r="L96" s="190">
        <v>13.032</v>
      </c>
      <c r="M96" s="190">
        <v>13.032</v>
      </c>
      <c r="N96" s="190">
        <v>13.032</v>
      </c>
      <c r="O96" s="190">
        <v>13.032</v>
      </c>
      <c r="P96" s="191">
        <v>13.032</v>
      </c>
      <c r="Q96" s="190">
        <v>13.032</v>
      </c>
      <c r="R96" s="115">
        <v>13.032</v>
      </c>
      <c r="S96" s="115">
        <v>13.032</v>
      </c>
      <c r="T96" s="115">
        <v>13.032</v>
      </c>
      <c r="U96" s="116">
        <v>13.032</v>
      </c>
      <c r="V96" s="115">
        <v>13.032</v>
      </c>
      <c r="W96" s="115">
        <v>13.032</v>
      </c>
      <c r="X96" s="115">
        <v>13.032</v>
      </c>
      <c r="Y96" s="115">
        <v>13.032</v>
      </c>
      <c r="Z96" s="115">
        <v>13.032</v>
      </c>
      <c r="AA96" s="115">
        <v>13.032</v>
      </c>
      <c r="AB96" s="115">
        <v>13.032</v>
      </c>
      <c r="AC96" s="158">
        <f t="shared" si="45"/>
        <v>299.73600000000005</v>
      </c>
    </row>
    <row r="97" spans="1:29" ht="15.75" hidden="1">
      <c r="A97" s="56"/>
      <c r="B97" s="82" t="s">
        <v>119</v>
      </c>
      <c r="C97" s="56" t="s">
        <v>123</v>
      </c>
      <c r="D97" s="56"/>
      <c r="E97" s="56"/>
      <c r="F97" s="192">
        <v>37.897310956349926</v>
      </c>
      <c r="G97" s="192">
        <v>39.424572587890829</v>
      </c>
      <c r="H97" s="192">
        <v>41.013382863182827</v>
      </c>
      <c r="I97" s="192">
        <v>42.666222192569094</v>
      </c>
      <c r="J97" s="192">
        <v>44.385670946929629</v>
      </c>
      <c r="K97" s="192">
        <v>46.174413486090891</v>
      </c>
      <c r="L97" s="192">
        <v>48.035242349580358</v>
      </c>
      <c r="M97" s="192">
        <v>49.971062616268448</v>
      </c>
      <c r="N97" s="192">
        <v>51.984896439704066</v>
      </c>
      <c r="O97" s="192">
        <v>54.07988776622414</v>
      </c>
      <c r="P97" s="193">
        <v>56.259307243202976</v>
      </c>
      <c r="Q97" s="192">
        <v>58.526557325104058</v>
      </c>
      <c r="R97" s="117">
        <v>60.885177585305755</v>
      </c>
      <c r="S97" s="117">
        <v>63.338850241993576</v>
      </c>
      <c r="T97" s="117">
        <v>65.891405906745916</v>
      </c>
      <c r="U97" s="118">
        <v>68.546829564787771</v>
      </c>
      <c r="V97" s="117">
        <v>71.309266796248721</v>
      </c>
      <c r="W97" s="117">
        <v>74.183030248137541</v>
      </c>
      <c r="X97" s="117">
        <v>77.17260636713749</v>
      </c>
      <c r="Y97" s="117">
        <v>80.282662403733127</v>
      </c>
      <c r="Z97" s="117">
        <v>83.518053698603566</v>
      </c>
      <c r="AA97" s="117">
        <v>86.883831262657296</v>
      </c>
      <c r="AB97" s="117">
        <v>90.385249662542378</v>
      </c>
      <c r="AC97" s="158">
        <f t="shared" si="45"/>
        <v>1392.8154905109905</v>
      </c>
    </row>
    <row r="98" spans="1:29" ht="29.25">
      <c r="A98" s="54" t="s">
        <v>166</v>
      </c>
      <c r="B98" s="132" t="s">
        <v>126</v>
      </c>
      <c r="C98" s="51" t="s">
        <v>62</v>
      </c>
      <c r="D98" s="51"/>
      <c r="E98" s="51"/>
      <c r="F98" s="238">
        <v>122955.46190884203</v>
      </c>
      <c r="G98" s="238">
        <v>122955.46190884203</v>
      </c>
      <c r="H98" s="238">
        <v>122955.46190884203</v>
      </c>
      <c r="I98" s="238">
        <v>122955.46190884203</v>
      </c>
      <c r="J98" s="238">
        <v>122955.46190884203</v>
      </c>
      <c r="K98" s="238">
        <v>122955.46190884203</v>
      </c>
      <c r="L98" s="238">
        <v>122955.46190884203</v>
      </c>
      <c r="M98" s="238">
        <v>122955.46190884203</v>
      </c>
      <c r="N98" s="238">
        <v>122955.46190884203</v>
      </c>
      <c r="O98" s="238">
        <v>122955.46190884203</v>
      </c>
      <c r="P98" s="239">
        <v>108633.69720884203</v>
      </c>
      <c r="Q98" s="238">
        <v>130681.39593136078</v>
      </c>
      <c r="R98" s="238">
        <v>130681.39593136078</v>
      </c>
      <c r="S98" s="238">
        <v>130681.39593136078</v>
      </c>
      <c r="T98" s="238">
        <v>130681.39593136078</v>
      </c>
      <c r="U98" s="240">
        <v>106352.90839802742</v>
      </c>
      <c r="V98" s="238">
        <v>106352.90839802742</v>
      </c>
      <c r="W98" s="238">
        <v>106352.90839802742</v>
      </c>
      <c r="X98" s="238">
        <v>106352.90839802742</v>
      </c>
      <c r="Y98" s="238">
        <v>106352.90839802742</v>
      </c>
      <c r="Z98" s="238">
        <v>106352.90839802742</v>
      </c>
      <c r="AA98" s="238">
        <v>84305.209675508682</v>
      </c>
      <c r="AB98" s="238">
        <v>84305.209675508682</v>
      </c>
      <c r="AC98" s="158">
        <f t="shared" si="45"/>
        <v>2667641.7697618874</v>
      </c>
    </row>
    <row r="99" spans="1:29" ht="15.75">
      <c r="A99" s="97" t="s">
        <v>163</v>
      </c>
      <c r="B99" s="146" t="s">
        <v>196</v>
      </c>
      <c r="C99" s="222"/>
      <c r="D99" s="222"/>
      <c r="E99" s="222"/>
      <c r="F99" s="176">
        <v>122955.46190884203</v>
      </c>
      <c r="G99" s="176">
        <v>122955.46190884203</v>
      </c>
      <c r="H99" s="176">
        <v>122955.46190884203</v>
      </c>
      <c r="I99" s="176">
        <v>122955.46190884203</v>
      </c>
      <c r="J99" s="176">
        <v>122955.46190884203</v>
      </c>
      <c r="K99" s="176">
        <v>122955.46190884203</v>
      </c>
      <c r="L99" s="223">
        <v>122955.46190884203</v>
      </c>
      <c r="M99" s="176">
        <v>122955.46190884203</v>
      </c>
      <c r="N99" s="176">
        <v>122955.46190884203</v>
      </c>
      <c r="O99" s="176">
        <v>122955.46190884203</v>
      </c>
      <c r="P99" s="224">
        <v>108633.69720884203</v>
      </c>
      <c r="Q99" s="176">
        <v>109559.82818798551</v>
      </c>
      <c r="R99" s="176">
        <v>109559.82818798551</v>
      </c>
      <c r="S99" s="176">
        <v>109559.82818798551</v>
      </c>
      <c r="T99" s="176">
        <v>109559.82818798553</v>
      </c>
      <c r="U99" s="223">
        <v>37734.184431256086</v>
      </c>
      <c r="V99" s="176">
        <v>37734.184431256093</v>
      </c>
      <c r="W99" s="176">
        <v>37734.184431256086</v>
      </c>
      <c r="X99" s="176">
        <v>37734.184431256086</v>
      </c>
      <c r="Y99" s="176">
        <v>37734.184431256093</v>
      </c>
      <c r="Z99" s="176">
        <v>0</v>
      </c>
      <c r="AA99" s="176">
        <v>0</v>
      </c>
      <c r="AB99" s="176">
        <v>0</v>
      </c>
      <c r="AC99" s="176">
        <f t="shared" si="45"/>
        <v>1965098.5512054844</v>
      </c>
    </row>
    <row r="100" spans="1:29" s="103" customFormat="1" ht="15.75">
      <c r="A100" s="102" t="s">
        <v>164</v>
      </c>
      <c r="B100" s="213" t="s">
        <v>197</v>
      </c>
      <c r="C100" s="225" t="s">
        <v>62</v>
      </c>
      <c r="D100" s="225"/>
      <c r="E100" s="225"/>
      <c r="F100" s="174">
        <v>244373.06308739283</v>
      </c>
      <c r="G100" s="174">
        <v>243774.14538686443</v>
      </c>
      <c r="H100" s="174">
        <v>243137.19641235238</v>
      </c>
      <c r="I100" s="174">
        <v>242459.80117795896</v>
      </c>
      <c r="J100" s="174">
        <v>195082.82276455377</v>
      </c>
      <c r="K100" s="174">
        <v>194316.6669084584</v>
      </c>
      <c r="L100" s="226">
        <v>193501.860155501</v>
      </c>
      <c r="M100" s="174">
        <v>192635.31317373086</v>
      </c>
      <c r="N100" s="174">
        <v>191713.74045861815</v>
      </c>
      <c r="O100" s="174">
        <v>190733.64787609596</v>
      </c>
      <c r="P100" s="174">
        <v>204013.0841145835</v>
      </c>
      <c r="Q100" s="174">
        <v>0</v>
      </c>
      <c r="R100" s="122">
        <v>0</v>
      </c>
      <c r="S100" s="122">
        <v>0</v>
      </c>
      <c r="T100" s="122">
        <v>0</v>
      </c>
      <c r="U100" s="122">
        <v>0</v>
      </c>
      <c r="V100" s="122">
        <v>0</v>
      </c>
      <c r="W100" s="122">
        <v>0</v>
      </c>
      <c r="X100" s="122">
        <v>0</v>
      </c>
      <c r="Y100" s="122">
        <v>0</v>
      </c>
      <c r="Z100" s="122">
        <v>0</v>
      </c>
      <c r="AA100" s="122">
        <v>0</v>
      </c>
      <c r="AB100" s="227">
        <v>0</v>
      </c>
      <c r="AC100" s="176">
        <f t="shared" si="45"/>
        <v>2335741.3415161106</v>
      </c>
    </row>
    <row r="101" spans="1:29" s="103" customFormat="1" ht="15.75" hidden="1">
      <c r="A101" s="96"/>
      <c r="B101" s="152" t="s">
        <v>127</v>
      </c>
      <c r="C101" s="55" t="s">
        <v>62</v>
      </c>
      <c r="D101" s="55"/>
      <c r="E101" s="55"/>
      <c r="F101" s="196">
        <v>97135.711688430529</v>
      </c>
      <c r="G101" s="196">
        <f>[5]Кредит!I86</f>
        <v>47373.769313840581</v>
      </c>
      <c r="H101" s="196">
        <f>[5]Кредит!J86</f>
        <v>47373.769313840581</v>
      </c>
      <c r="I101" s="196">
        <f>[5]Кредит!K86</f>
        <v>47373.769313840581</v>
      </c>
      <c r="J101" s="196">
        <f>[5]Кредит!L86</f>
        <v>47373.769313840581</v>
      </c>
      <c r="K101" s="196">
        <f>[5]Кредит!M86</f>
        <v>47373.769313840581</v>
      </c>
      <c r="L101" s="196">
        <f>[5]Кредит!N86</f>
        <v>47373.769313840581</v>
      </c>
      <c r="M101" s="197">
        <f>[5]Кредит!O86</f>
        <v>47373.769313840581</v>
      </c>
      <c r="N101" s="197">
        <f>[5]Кредит!P86</f>
        <v>47373.769313840581</v>
      </c>
      <c r="O101" s="197">
        <f>[5]Кредит!Q86</f>
        <v>47373.769313840581</v>
      </c>
      <c r="P101" s="197">
        <f>[5]Кредит!R86</f>
        <v>41935.651304347826</v>
      </c>
      <c r="Q101" s="197">
        <f>[5]Кредит!S86</f>
        <v>50307.384118167865</v>
      </c>
      <c r="R101" s="121">
        <f>[5]Кредит!T86</f>
        <v>50307.384118167865</v>
      </c>
      <c r="S101" s="121">
        <f>[5]Кредит!U86</f>
        <v>50307.384118167865</v>
      </c>
      <c r="T101" s="121">
        <f>[5]Кредит!V86</f>
        <v>50307.384118167865</v>
      </c>
      <c r="U101" s="121">
        <f>[5]Кредит!W86</f>
        <v>50307.384118167865</v>
      </c>
      <c r="V101" s="121">
        <f>[5]Кредит!X86</f>
        <v>50307.384118167865</v>
      </c>
      <c r="W101" s="121">
        <f>[5]Кредит!Y86</f>
        <v>50307.384118167865</v>
      </c>
      <c r="X101" s="121">
        <f>[5]Кредит!Z86</f>
        <v>50307.384118167865</v>
      </c>
      <c r="Y101" s="121">
        <f>[5]Кредит!AA86</f>
        <v>50307.384118167865</v>
      </c>
      <c r="Z101" s="121">
        <f>[5]Кредит!AB86</f>
        <v>50307.384118167865</v>
      </c>
      <c r="AA101" s="121">
        <f>[5]Кредит!AC86</f>
        <v>41935.651304347826</v>
      </c>
      <c r="AB101" s="147"/>
      <c r="AC101" s="147">
        <f t="shared" si="45"/>
        <v>1110444.7793033707</v>
      </c>
    </row>
    <row r="102" spans="1:29" s="103" customFormat="1" ht="15.75">
      <c r="A102" s="62" t="s">
        <v>165</v>
      </c>
      <c r="B102" s="156" t="s">
        <v>177</v>
      </c>
      <c r="C102" s="55" t="s">
        <v>62</v>
      </c>
      <c r="D102" s="55"/>
      <c r="E102" s="55"/>
      <c r="F102" s="173">
        <v>17572.606361154099</v>
      </c>
      <c r="G102" s="173">
        <v>18106.96689796172</v>
      </c>
      <c r="H102" s="173">
        <v>18669.738494636302</v>
      </c>
      <c r="I102" s="173">
        <v>20846.342850437853</v>
      </c>
      <c r="J102" s="173">
        <v>21517.628006010764</v>
      </c>
      <c r="K102" s="173">
        <v>22223.706505869508</v>
      </c>
      <c r="L102" s="173">
        <v>22966.47837675476</v>
      </c>
      <c r="M102" s="173">
        <v>23747.951422131624</v>
      </c>
      <c r="N102" s="173">
        <v>24570.247474850112</v>
      </c>
      <c r="O102" s="173">
        <v>25435.609017306117</v>
      </c>
      <c r="P102" s="173">
        <v>25630.962435277757</v>
      </c>
      <c r="Q102" s="173">
        <v>27701.659195545904</v>
      </c>
      <c r="R102" s="173">
        <v>28710.638569749881</v>
      </c>
      <c r="S102" s="173">
        <v>29773.006380087332</v>
      </c>
      <c r="T102" s="173">
        <v>30891.722119743274</v>
      </c>
      <c r="U102" s="173">
        <v>30854.585089018234</v>
      </c>
      <c r="V102" s="173">
        <v>32096.657436382229</v>
      </c>
      <c r="W102" s="173">
        <v>33405.012707013731</v>
      </c>
      <c r="X102" s="173">
        <v>34783.349647327435</v>
      </c>
      <c r="Y102" s="173">
        <v>36235.579561804458</v>
      </c>
      <c r="Z102" s="173">
        <v>37765.838738985352</v>
      </c>
      <c r="AA102" s="173">
        <v>38277.108821386624</v>
      </c>
      <c r="AB102" s="173">
        <v>39977.794047443596</v>
      </c>
      <c r="AC102" s="173">
        <f t="shared" si="45"/>
        <v>641761.19015687855</v>
      </c>
    </row>
    <row r="103" spans="1:29" s="103" customFormat="1" ht="15.75">
      <c r="A103" s="62" t="s">
        <v>178</v>
      </c>
      <c r="B103" s="132" t="s">
        <v>176</v>
      </c>
      <c r="C103" s="55" t="s">
        <v>62</v>
      </c>
      <c r="D103" s="55"/>
      <c r="E103" s="55"/>
      <c r="F103" s="163">
        <f t="shared" ref="F103:AB103" si="50">F5-F18</f>
        <v>0</v>
      </c>
      <c r="G103" s="163">
        <f t="shared" si="50"/>
        <v>0</v>
      </c>
      <c r="H103" s="163">
        <f t="shared" si="50"/>
        <v>0</v>
      </c>
      <c r="I103" s="163">
        <f t="shared" si="50"/>
        <v>0</v>
      </c>
      <c r="J103" s="163">
        <f t="shared" si="50"/>
        <v>0</v>
      </c>
      <c r="K103" s="163">
        <f t="shared" si="50"/>
        <v>0</v>
      </c>
      <c r="L103" s="163">
        <f t="shared" si="50"/>
        <v>0</v>
      </c>
      <c r="M103" s="163">
        <f t="shared" si="50"/>
        <v>0</v>
      </c>
      <c r="N103" s="163">
        <f t="shared" si="50"/>
        <v>0</v>
      </c>
      <c r="O103" s="163">
        <f t="shared" si="50"/>
        <v>0</v>
      </c>
      <c r="P103" s="163">
        <f t="shared" si="50"/>
        <v>0</v>
      </c>
      <c r="Q103" s="163">
        <f t="shared" si="50"/>
        <v>0</v>
      </c>
      <c r="R103" s="113">
        <f t="shared" si="50"/>
        <v>0</v>
      </c>
      <c r="S103" s="113">
        <f t="shared" si="50"/>
        <v>0</v>
      </c>
      <c r="T103" s="113">
        <f t="shared" si="50"/>
        <v>0</v>
      </c>
      <c r="U103" s="113">
        <f t="shared" si="50"/>
        <v>0</v>
      </c>
      <c r="V103" s="113">
        <f t="shared" si="50"/>
        <v>0</v>
      </c>
      <c r="W103" s="113">
        <f t="shared" si="50"/>
        <v>0</v>
      </c>
      <c r="X103" s="113">
        <f t="shared" si="50"/>
        <v>0</v>
      </c>
      <c r="Y103" s="113">
        <f t="shared" si="50"/>
        <v>0</v>
      </c>
      <c r="Z103" s="113">
        <f t="shared" si="50"/>
        <v>0</v>
      </c>
      <c r="AA103" s="113">
        <f t="shared" si="50"/>
        <v>0</v>
      </c>
      <c r="AB103" s="113">
        <f t="shared" si="50"/>
        <v>0</v>
      </c>
      <c r="AC103" s="113">
        <f t="shared" si="45"/>
        <v>0</v>
      </c>
    </row>
    <row r="104" spans="1:29" ht="15.75" hidden="1">
      <c r="A104" s="105" t="s">
        <v>167</v>
      </c>
      <c r="B104" s="145" t="s">
        <v>170</v>
      </c>
      <c r="C104" s="71"/>
      <c r="D104" s="71"/>
      <c r="E104" s="71"/>
      <c r="F104" s="198">
        <f t="shared" ref="F104:AB104" si="51">F103/F25*100</f>
        <v>0</v>
      </c>
      <c r="G104" s="198">
        <f t="shared" si="51"/>
        <v>0</v>
      </c>
      <c r="H104" s="198">
        <f t="shared" si="51"/>
        <v>0</v>
      </c>
      <c r="I104" s="198">
        <f t="shared" si="51"/>
        <v>0</v>
      </c>
      <c r="J104" s="198">
        <f t="shared" si="51"/>
        <v>0</v>
      </c>
      <c r="K104" s="198">
        <f t="shared" si="51"/>
        <v>0</v>
      </c>
      <c r="L104" s="198">
        <f t="shared" si="51"/>
        <v>0</v>
      </c>
      <c r="M104" s="198">
        <f t="shared" si="51"/>
        <v>0</v>
      </c>
      <c r="N104" s="198">
        <f t="shared" si="51"/>
        <v>0</v>
      </c>
      <c r="O104" s="198">
        <f t="shared" si="51"/>
        <v>0</v>
      </c>
      <c r="P104" s="198">
        <f t="shared" si="51"/>
        <v>0</v>
      </c>
      <c r="Q104" s="198">
        <f t="shared" si="51"/>
        <v>0</v>
      </c>
      <c r="R104" s="148">
        <f t="shared" si="51"/>
        <v>0</v>
      </c>
      <c r="S104" s="148">
        <f t="shared" si="51"/>
        <v>0</v>
      </c>
      <c r="T104" s="148">
        <f t="shared" si="51"/>
        <v>0</v>
      </c>
      <c r="U104" s="148">
        <f t="shared" si="51"/>
        <v>0</v>
      </c>
      <c r="V104" s="148">
        <f t="shared" si="51"/>
        <v>0</v>
      </c>
      <c r="W104" s="148">
        <f t="shared" si="51"/>
        <v>0</v>
      </c>
      <c r="X104" s="148">
        <f t="shared" si="51"/>
        <v>0</v>
      </c>
      <c r="Y104" s="148">
        <f t="shared" si="51"/>
        <v>0</v>
      </c>
      <c r="Z104" s="148">
        <f t="shared" si="51"/>
        <v>0</v>
      </c>
      <c r="AA104" s="148">
        <f t="shared" si="51"/>
        <v>0</v>
      </c>
      <c r="AB104" s="148">
        <f t="shared" si="51"/>
        <v>0</v>
      </c>
      <c r="AC104" s="158">
        <f t="shared" si="45"/>
        <v>0</v>
      </c>
    </row>
    <row r="105" spans="1:29">
      <c r="AC105" s="158"/>
    </row>
    <row r="106" spans="1:29" hidden="1">
      <c r="E106" s="123" t="s">
        <v>171</v>
      </c>
      <c r="F106" s="35">
        <f t="shared" ref="F106:AB106" si="52">F25+F103</f>
        <v>638347.40401178517</v>
      </c>
      <c r="G106" s="35">
        <f t="shared" si="52"/>
        <v>652987.61546630808</v>
      </c>
      <c r="H106" s="35">
        <f t="shared" si="52"/>
        <v>668503.84115000675</v>
      </c>
      <c r="I106" s="35">
        <f t="shared" si="52"/>
        <v>718213.65600625519</v>
      </c>
      <c r="J106" s="35">
        <f t="shared" si="52"/>
        <v>675988.42849474866</v>
      </c>
      <c r="K106" s="35">
        <f t="shared" si="52"/>
        <v>693897.67124106444</v>
      </c>
      <c r="L106" s="35">
        <f t="shared" si="52"/>
        <v>712784.90400530444</v>
      </c>
      <c r="M106" s="35">
        <f t="shared" si="52"/>
        <v>732706.81343447953</v>
      </c>
      <c r="N106" s="35">
        <f t="shared" si="52"/>
        <v>753723.55835596099</v>
      </c>
      <c r="O106" s="35">
        <f t="shared" si="52"/>
        <v>775898.99509334692</v>
      </c>
      <c r="P106" s="35">
        <f t="shared" si="52"/>
        <v>802178.83058881329</v>
      </c>
      <c r="Q106" s="35">
        <f t="shared" si="52"/>
        <v>582523.42165234126</v>
      </c>
      <c r="R106" s="35">
        <f t="shared" si="52"/>
        <v>603711.98851062474</v>
      </c>
      <c r="S106" s="35">
        <f t="shared" si="52"/>
        <v>626021.71252771129</v>
      </c>
      <c r="T106" s="35">
        <f t="shared" si="52"/>
        <v>649514.74306048593</v>
      </c>
      <c r="U106" s="35">
        <f t="shared" si="52"/>
        <v>648734.86541526008</v>
      </c>
      <c r="V106" s="35">
        <f t="shared" si="52"/>
        <v>674818.38470990397</v>
      </c>
      <c r="W106" s="35">
        <f t="shared" si="52"/>
        <v>702293.84539316548</v>
      </c>
      <c r="X106" s="35">
        <f t="shared" si="52"/>
        <v>731238.92113975331</v>
      </c>
      <c r="Y106" s="35">
        <f t="shared" si="52"/>
        <v>762454.89859862661</v>
      </c>
      <c r="Z106" s="35">
        <f t="shared" si="52"/>
        <v>793871.19206456956</v>
      </c>
      <c r="AA106" s="35">
        <f t="shared" si="52"/>
        <v>804607.86379499617</v>
      </c>
      <c r="AB106" s="35">
        <f t="shared" si="52"/>
        <v>840322.25354219263</v>
      </c>
    </row>
    <row r="107" spans="1:29" ht="31.5">
      <c r="A107" s="230"/>
      <c r="B107" s="231" t="s">
        <v>188</v>
      </c>
      <c r="C107" s="232" t="s">
        <v>62</v>
      </c>
      <c r="D107" s="233">
        <f>D9</f>
        <v>85094.81</v>
      </c>
      <c r="E107" s="233">
        <f>E7+E9+E10+E12+E14</f>
        <v>2705579.6370000001</v>
      </c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  <c r="Z107" s="233"/>
      <c r="AA107" s="233"/>
      <c r="AB107" s="233"/>
      <c r="AC107" s="233">
        <f t="shared" si="45"/>
        <v>2790674.4470000002</v>
      </c>
    </row>
    <row r="108" spans="1:29" ht="30" customHeight="1">
      <c r="A108" s="230"/>
      <c r="B108" s="231" t="s">
        <v>189</v>
      </c>
      <c r="C108" s="232" t="s">
        <v>62</v>
      </c>
      <c r="D108" s="233">
        <f>D19</f>
        <v>85094.81</v>
      </c>
      <c r="E108" s="233">
        <f>E19</f>
        <v>2705579.6370000001</v>
      </c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33"/>
      <c r="Z108" s="233"/>
      <c r="AA108" s="233"/>
      <c r="AB108" s="233"/>
      <c r="AC108" s="233">
        <f t="shared" si="45"/>
        <v>2790674.4470000002</v>
      </c>
    </row>
    <row r="109" spans="1:29" ht="31.5">
      <c r="A109" s="230"/>
      <c r="B109" s="231" t="s">
        <v>190</v>
      </c>
      <c r="C109" s="232" t="s">
        <v>62</v>
      </c>
      <c r="D109" s="233">
        <f>D107-D108</f>
        <v>0</v>
      </c>
      <c r="E109" s="233">
        <f>E107-E108</f>
        <v>0</v>
      </c>
      <c r="F109" s="233">
        <f t="shared" ref="F109:O109" si="53">F107-F108</f>
        <v>0</v>
      </c>
      <c r="G109" s="233">
        <f t="shared" si="53"/>
        <v>0</v>
      </c>
      <c r="H109" s="233">
        <f t="shared" si="53"/>
        <v>0</v>
      </c>
      <c r="I109" s="233">
        <f t="shared" si="53"/>
        <v>0</v>
      </c>
      <c r="J109" s="233">
        <f t="shared" si="53"/>
        <v>0</v>
      </c>
      <c r="K109" s="233">
        <f t="shared" si="53"/>
        <v>0</v>
      </c>
      <c r="L109" s="233">
        <f t="shared" si="53"/>
        <v>0</v>
      </c>
      <c r="M109" s="233">
        <f t="shared" si="53"/>
        <v>0</v>
      </c>
      <c r="N109" s="233">
        <f t="shared" si="53"/>
        <v>0</v>
      </c>
      <c r="O109" s="233">
        <f t="shared" si="53"/>
        <v>0</v>
      </c>
      <c r="P109" s="233">
        <f t="shared" ref="P109" si="54">P107-P108</f>
        <v>0</v>
      </c>
      <c r="Q109" s="233">
        <f>Q107-Q108</f>
        <v>0</v>
      </c>
      <c r="R109" s="233">
        <f t="shared" ref="R109" si="55">R107-R108</f>
        <v>0</v>
      </c>
      <c r="S109" s="233">
        <f t="shared" ref="S109" si="56">S107-S108</f>
        <v>0</v>
      </c>
      <c r="T109" s="233">
        <f t="shared" ref="T109" si="57">T107-T108</f>
        <v>0</v>
      </c>
      <c r="U109" s="233">
        <f t="shared" ref="U109" si="58">U107-U108</f>
        <v>0</v>
      </c>
      <c r="V109" s="233">
        <f t="shared" ref="V109" si="59">V107-V108</f>
        <v>0</v>
      </c>
      <c r="W109" s="233">
        <f t="shared" ref="W109" si="60">W107-W108</f>
        <v>0</v>
      </c>
      <c r="X109" s="233">
        <f t="shared" ref="X109" si="61">X107-X108</f>
        <v>0</v>
      </c>
      <c r="Y109" s="233">
        <f t="shared" ref="Y109" si="62">Y107-Y108</f>
        <v>0</v>
      </c>
      <c r="Z109" s="233">
        <f t="shared" ref="Z109" si="63">Z107-Z108</f>
        <v>0</v>
      </c>
      <c r="AA109" s="233">
        <f t="shared" ref="AA109" si="64">AA107-AA108</f>
        <v>0</v>
      </c>
      <c r="AB109" s="233">
        <f t="shared" ref="AB109" si="65">AB107-AB108</f>
        <v>0</v>
      </c>
      <c r="AC109" s="233">
        <f t="shared" si="45"/>
        <v>0</v>
      </c>
    </row>
    <row r="111" spans="1:29" ht="15.75">
      <c r="A111" s="228"/>
      <c r="B111" s="229" t="s">
        <v>191</v>
      </c>
      <c r="C111" s="104" t="s">
        <v>62</v>
      </c>
      <c r="D111" s="175">
        <f>D13</f>
        <v>4537.954547039687</v>
      </c>
      <c r="E111" s="175">
        <f>E25</f>
        <v>5617.4217293862494</v>
      </c>
      <c r="F111" s="175">
        <f t="shared" ref="F111:AB111" si="66">F15</f>
        <v>638347.40401178517</v>
      </c>
      <c r="G111" s="175">
        <f t="shared" si="66"/>
        <v>652987.61546630797</v>
      </c>
      <c r="H111" s="175">
        <f t="shared" si="66"/>
        <v>668503.84115000663</v>
      </c>
      <c r="I111" s="175">
        <f t="shared" si="66"/>
        <v>718213.6560062553</v>
      </c>
      <c r="J111" s="175">
        <f t="shared" si="66"/>
        <v>675988.42849474854</v>
      </c>
      <c r="K111" s="175">
        <f t="shared" si="66"/>
        <v>693897.67124106444</v>
      </c>
      <c r="L111" s="175">
        <f t="shared" si="66"/>
        <v>712784.90400530444</v>
      </c>
      <c r="M111" s="175">
        <f t="shared" si="66"/>
        <v>732706.81343447953</v>
      </c>
      <c r="N111" s="175">
        <f t="shared" si="66"/>
        <v>753723.55835596099</v>
      </c>
      <c r="O111" s="175">
        <f t="shared" si="66"/>
        <v>775898.99509334692</v>
      </c>
      <c r="P111" s="175">
        <f t="shared" si="66"/>
        <v>802178.83058881329</v>
      </c>
      <c r="Q111" s="175">
        <f t="shared" si="66"/>
        <v>582523.42165234126</v>
      </c>
      <c r="R111" s="175">
        <f t="shared" si="66"/>
        <v>603711.98851062474</v>
      </c>
      <c r="S111" s="175">
        <f t="shared" si="66"/>
        <v>626021.71252771129</v>
      </c>
      <c r="T111" s="175">
        <f t="shared" si="66"/>
        <v>649514.74306048593</v>
      </c>
      <c r="U111" s="175">
        <f t="shared" si="66"/>
        <v>648734.86541526008</v>
      </c>
      <c r="V111" s="175">
        <f t="shared" si="66"/>
        <v>674818.38470990397</v>
      </c>
      <c r="W111" s="175">
        <f t="shared" si="66"/>
        <v>702293.84539316548</v>
      </c>
      <c r="X111" s="175">
        <f t="shared" si="66"/>
        <v>731238.92113975331</v>
      </c>
      <c r="Y111" s="175">
        <f t="shared" si="66"/>
        <v>762454.89859862661</v>
      </c>
      <c r="Z111" s="175">
        <f t="shared" si="66"/>
        <v>793871.19206456945</v>
      </c>
      <c r="AA111" s="175">
        <f t="shared" si="66"/>
        <v>804607.86379499617</v>
      </c>
      <c r="AB111" s="175">
        <f t="shared" si="66"/>
        <v>840322.25354219275</v>
      </c>
      <c r="AC111" s="175">
        <f t="shared" si="45"/>
        <v>16255501.184534129</v>
      </c>
    </row>
    <row r="112" spans="1:29" ht="15.75">
      <c r="A112" s="228"/>
      <c r="B112" s="229" t="s">
        <v>192</v>
      </c>
      <c r="C112" s="104" t="s">
        <v>62</v>
      </c>
      <c r="D112" s="175">
        <f>D25</f>
        <v>4537.954547039687</v>
      </c>
      <c r="E112" s="175">
        <f>E25</f>
        <v>5617.4217293862494</v>
      </c>
      <c r="F112" s="175">
        <f t="shared" ref="F112:AB112" si="67">F25-F98+F99</f>
        <v>638347.40401178517</v>
      </c>
      <c r="G112" s="175">
        <f t="shared" si="67"/>
        <v>652987.61546630808</v>
      </c>
      <c r="H112" s="175">
        <f t="shared" si="67"/>
        <v>668503.84115000675</v>
      </c>
      <c r="I112" s="175">
        <f t="shared" si="67"/>
        <v>718213.65600625519</v>
      </c>
      <c r="J112" s="175">
        <f t="shared" si="67"/>
        <v>675988.42849474866</v>
      </c>
      <c r="K112" s="175">
        <f t="shared" si="67"/>
        <v>693897.67124106432</v>
      </c>
      <c r="L112" s="175">
        <f t="shared" si="67"/>
        <v>712784.90400530444</v>
      </c>
      <c r="M112" s="175">
        <f t="shared" si="67"/>
        <v>732706.81343447953</v>
      </c>
      <c r="N112" s="175">
        <f t="shared" si="67"/>
        <v>753723.55835596099</v>
      </c>
      <c r="O112" s="175">
        <f t="shared" si="67"/>
        <v>775898.99509334681</v>
      </c>
      <c r="P112" s="175">
        <f t="shared" si="67"/>
        <v>802178.83058881329</v>
      </c>
      <c r="Q112" s="175">
        <f t="shared" si="67"/>
        <v>561401.85390896595</v>
      </c>
      <c r="R112" s="175">
        <f t="shared" si="67"/>
        <v>582590.42076724942</v>
      </c>
      <c r="S112" s="175">
        <f t="shared" si="67"/>
        <v>604900.14478433598</v>
      </c>
      <c r="T112" s="175">
        <f t="shared" si="67"/>
        <v>628393.17531711073</v>
      </c>
      <c r="U112" s="175">
        <f t="shared" si="67"/>
        <v>580116.14144848869</v>
      </c>
      <c r="V112" s="175">
        <f t="shared" si="67"/>
        <v>606199.6607431327</v>
      </c>
      <c r="W112" s="175">
        <f t="shared" si="67"/>
        <v>633675.12142639421</v>
      </c>
      <c r="X112" s="175">
        <f t="shared" si="67"/>
        <v>662620.19717298192</v>
      </c>
      <c r="Y112" s="175">
        <f t="shared" si="67"/>
        <v>693836.17463185533</v>
      </c>
      <c r="Z112" s="175">
        <f t="shared" si="67"/>
        <v>687518.28366654215</v>
      </c>
      <c r="AA112" s="175">
        <f t="shared" si="67"/>
        <v>720302.6541194875</v>
      </c>
      <c r="AB112" s="175">
        <f t="shared" si="67"/>
        <v>756017.04386668396</v>
      </c>
      <c r="AC112" s="175">
        <f t="shared" si="45"/>
        <v>15552957.965977727</v>
      </c>
    </row>
    <row r="113" spans="1:30" ht="15.75">
      <c r="A113" s="228"/>
      <c r="B113" s="229" t="s">
        <v>193</v>
      </c>
      <c r="C113" s="104" t="s">
        <v>62</v>
      </c>
      <c r="D113" s="175">
        <f t="shared" ref="D113:I113" si="68">D111-D112</f>
        <v>0</v>
      </c>
      <c r="E113" s="175">
        <f t="shared" si="68"/>
        <v>0</v>
      </c>
      <c r="F113" s="175">
        <f t="shared" si="68"/>
        <v>0</v>
      </c>
      <c r="G113" s="175">
        <f t="shared" si="68"/>
        <v>0</v>
      </c>
      <c r="H113" s="175">
        <f t="shared" si="68"/>
        <v>0</v>
      </c>
      <c r="I113" s="175">
        <f t="shared" si="68"/>
        <v>0</v>
      </c>
      <c r="J113" s="175">
        <f t="shared" ref="J113:N113" si="69">J111-J112</f>
        <v>0</v>
      </c>
      <c r="K113" s="175">
        <f t="shared" si="69"/>
        <v>0</v>
      </c>
      <c r="L113" s="175">
        <f t="shared" si="69"/>
        <v>0</v>
      </c>
      <c r="M113" s="175">
        <f t="shared" si="69"/>
        <v>0</v>
      </c>
      <c r="N113" s="175">
        <f t="shared" si="69"/>
        <v>0</v>
      </c>
      <c r="O113" s="175">
        <f t="shared" ref="O113" si="70">O111-O112</f>
        <v>0</v>
      </c>
      <c r="P113" s="175">
        <f t="shared" ref="P113" si="71">P111-P112</f>
        <v>0</v>
      </c>
      <c r="Q113" s="175">
        <f t="shared" ref="Q113" si="72">Q111-Q112</f>
        <v>21121.567743375315</v>
      </c>
      <c r="R113" s="175">
        <f t="shared" ref="R113" si="73">R111-R112</f>
        <v>21121.567743375315</v>
      </c>
      <c r="S113" s="175">
        <f t="shared" ref="S113" si="74">S111-S112</f>
        <v>21121.567743375315</v>
      </c>
      <c r="T113" s="175">
        <f t="shared" ref="T113" si="75">T111-T112</f>
        <v>21121.567743375199</v>
      </c>
      <c r="U113" s="175">
        <f t="shared" ref="U113" si="76">U111-U112</f>
        <v>68618.723966771387</v>
      </c>
      <c r="V113" s="175">
        <f t="shared" ref="V113" si="77">V111-V112</f>
        <v>68618.723966771271</v>
      </c>
      <c r="W113" s="175">
        <f t="shared" ref="W113" si="78">W111-W112</f>
        <v>68618.723966771271</v>
      </c>
      <c r="X113" s="175">
        <f t="shared" ref="X113" si="79">X111-X112</f>
        <v>68618.723966771387</v>
      </c>
      <c r="Y113" s="175">
        <f t="shared" ref="Y113" si="80">Y111-Y112</f>
        <v>68618.723966771271</v>
      </c>
      <c r="Z113" s="175">
        <f t="shared" ref="Z113" si="81">Z111-Z112</f>
        <v>106352.9083980273</v>
      </c>
      <c r="AA113" s="175">
        <f t="shared" ref="AA113" si="82">AA111-AA112</f>
        <v>84305.209675508668</v>
      </c>
      <c r="AB113" s="175">
        <f t="shared" ref="AB113" si="83">AB111-AB112</f>
        <v>84305.209675508784</v>
      </c>
      <c r="AC113" s="175">
        <f t="shared" si="45"/>
        <v>702543.21855640248</v>
      </c>
    </row>
    <row r="115" spans="1:30" ht="15.75">
      <c r="A115" s="234"/>
      <c r="B115" s="229" t="s">
        <v>194</v>
      </c>
      <c r="C115" s="104" t="s">
        <v>62</v>
      </c>
      <c r="D115" s="175">
        <f>D109+D113</f>
        <v>0</v>
      </c>
      <c r="E115" s="175">
        <f t="shared" ref="E115:AB115" si="84">E109+E113</f>
        <v>0</v>
      </c>
      <c r="F115" s="175">
        <f t="shared" si="84"/>
        <v>0</v>
      </c>
      <c r="G115" s="175">
        <f t="shared" si="84"/>
        <v>0</v>
      </c>
      <c r="H115" s="175">
        <f t="shared" si="84"/>
        <v>0</v>
      </c>
      <c r="I115" s="175">
        <f t="shared" si="84"/>
        <v>0</v>
      </c>
      <c r="J115" s="175">
        <f t="shared" si="84"/>
        <v>0</v>
      </c>
      <c r="K115" s="175">
        <f t="shared" si="84"/>
        <v>0</v>
      </c>
      <c r="L115" s="175">
        <f t="shared" si="84"/>
        <v>0</v>
      </c>
      <c r="M115" s="175">
        <f t="shared" si="84"/>
        <v>0</v>
      </c>
      <c r="N115" s="175">
        <f t="shared" si="84"/>
        <v>0</v>
      </c>
      <c r="O115" s="175">
        <f t="shared" si="84"/>
        <v>0</v>
      </c>
      <c r="P115" s="175">
        <f t="shared" si="84"/>
        <v>0</v>
      </c>
      <c r="Q115" s="175">
        <f t="shared" si="84"/>
        <v>21121.567743375315</v>
      </c>
      <c r="R115" s="175">
        <f t="shared" si="84"/>
        <v>21121.567743375315</v>
      </c>
      <c r="S115" s="175">
        <f t="shared" si="84"/>
        <v>21121.567743375315</v>
      </c>
      <c r="T115" s="175">
        <f t="shared" si="84"/>
        <v>21121.567743375199</v>
      </c>
      <c r="U115" s="175">
        <f t="shared" si="84"/>
        <v>68618.723966771387</v>
      </c>
      <c r="V115" s="175">
        <f t="shared" si="84"/>
        <v>68618.723966771271</v>
      </c>
      <c r="W115" s="175">
        <f t="shared" si="84"/>
        <v>68618.723966771271</v>
      </c>
      <c r="X115" s="175">
        <f t="shared" si="84"/>
        <v>68618.723966771387</v>
      </c>
      <c r="Y115" s="175">
        <f t="shared" si="84"/>
        <v>68618.723966771271</v>
      </c>
      <c r="Z115" s="175">
        <f t="shared" si="84"/>
        <v>106352.9083980273</v>
      </c>
      <c r="AA115" s="175">
        <f t="shared" si="84"/>
        <v>84305.209675508668</v>
      </c>
      <c r="AB115" s="175">
        <f t="shared" si="84"/>
        <v>84305.209675508784</v>
      </c>
      <c r="AC115" s="175">
        <f t="shared" si="45"/>
        <v>702543.21855640248</v>
      </c>
      <c r="AD115" t="s">
        <v>172</v>
      </c>
    </row>
  </sheetData>
  <mergeCells count="2">
    <mergeCell ref="B2:Q2"/>
    <mergeCell ref="P1:Q1"/>
  </mergeCells>
  <pageMargins left="0.11811023622047245" right="0.11811023622047245" top="0.15748031496062992" bottom="0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тарифа</vt:lpstr>
      <vt:lpstr>Финансовый план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Колычева</dc:creator>
  <cp:lastModifiedBy>user</cp:lastModifiedBy>
  <cp:lastPrinted>2024-02-29T12:58:47Z</cp:lastPrinted>
  <dcterms:created xsi:type="dcterms:W3CDTF">2023-02-21T08:57:27Z</dcterms:created>
  <dcterms:modified xsi:type="dcterms:W3CDTF">2025-02-20T07:28:58Z</dcterms:modified>
</cp:coreProperties>
</file>